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I:\2024_60_VALGUNDES_ENERGOEF_BŪVDARBI\"/>
    </mc:Choice>
  </mc:AlternateContent>
  <xr:revisionPtr revIDLastSave="0" documentId="13_ncr:1_{209BE131-38B1-4B17-A61B-E43CFE91FEA8}" xr6:coauthVersionLast="47" xr6:coauthVersionMax="47" xr10:uidLastSave="{00000000-0000-0000-0000-000000000000}"/>
  <bookViews>
    <workbookView xWindow="-120" yWindow="-120" windowWidth="29040" windowHeight="17520" tabRatio="897" activeTab="1" xr2:uid="{00000000-000D-0000-FFFF-FFFF00000000}"/>
  </bookViews>
  <sheets>
    <sheet name="KOPTAME" sheetId="2" r:id="rId1"/>
    <sheet name="KOPS 1" sheetId="3" r:id="rId2"/>
    <sheet name="BS 1" sheetId="4" r:id="rId3"/>
    <sheet name="DEM 1" sheetId="5" r:id="rId4"/>
    <sheet name="COK 1" sheetId="6" r:id="rId5"/>
    <sheet name="FAS 1" sheetId="8" r:id="rId6"/>
    <sheet name="GRI 1" sheetId="9" r:id="rId7"/>
    <sheet name="JUM 1" sheetId="10" r:id="rId8"/>
    <sheet name="L D V 1" sheetId="11" r:id="rId9"/>
    <sheet name="APD 1" sheetId="12" r:id="rId10"/>
    <sheet name="APK 1" sheetId="16" r:id="rId11"/>
    <sheet name="SM 1" sheetId="17" r:id="rId12"/>
    <sheet name="VENT 1" sheetId="18" r:id="rId13"/>
    <sheet name="EL 1" sheetId="25" r:id="rId14"/>
    <sheet name="KOPS 2" sheetId="29" r:id="rId15"/>
    <sheet name="SIE 2" sheetId="7" r:id="rId16"/>
    <sheet name="KAPN 2" sheetId="13" r:id="rId17"/>
    <sheet name="UK 2" sheetId="15" r:id="rId18"/>
    <sheet name="UATS 2" sheetId="19" r:id="rId19"/>
    <sheet name="VNS 2" sheetId="20" r:id="rId20"/>
    <sheet name="ASS 2" sheetId="21" r:id="rId21"/>
    <sheet name="ITTIS 2" sheetId="22" r:id="rId22"/>
    <sheet name="PKS 2" sheetId="23" r:id="rId23"/>
    <sheet name="LVRTC 2" sheetId="24" r:id="rId24"/>
    <sheet name="UKT 2" sheetId="26" r:id="rId25"/>
    <sheet name="KOPS 3" sheetId="30" r:id="rId26"/>
    <sheet name="LAB 3" sheetId="14" r:id="rId27"/>
  </sheets>
  <definedNames>
    <definedName name="_xlnm.Print_Area" localSheetId="9">'APD 1'!$A$1:$P$139</definedName>
    <definedName name="_xlnm.Print_Area" localSheetId="10">'APK 1'!$A$1:$P$59</definedName>
    <definedName name="_xlnm.Print_Area" localSheetId="20">'ASS 2'!$A$1:$P$52</definedName>
    <definedName name="_xlnm.Print_Area" localSheetId="2">'BS 1'!$A$1:$P$55</definedName>
    <definedName name="_xlnm.Print_Area" localSheetId="4">'COK 1'!$A$1:$P$57</definedName>
    <definedName name="_xlnm.Print_Area" localSheetId="3">'DEM 1'!$A$1:$P$86</definedName>
    <definedName name="_xlnm.Print_Area" localSheetId="13">'EL 1'!$A$1:$P$109</definedName>
    <definedName name="_xlnm.Print_Area" localSheetId="5">'FAS 1'!$A$1:$P$68</definedName>
    <definedName name="_xlnm.Print_Area" localSheetId="6">'GRI 1'!$A$1:$P$52</definedName>
    <definedName name="_xlnm.Print_Area" localSheetId="21">'ITTIS 2'!$A$1:$P$39</definedName>
    <definedName name="_xlnm.Print_Area" localSheetId="7">'JUM 1'!$A$1:$P$69</definedName>
    <definedName name="_xlnm.Print_Area" localSheetId="16">'KAPN 2'!$A$1:$P$59</definedName>
    <definedName name="_xlnm.Print_Area" localSheetId="1">'KOPS 1'!$A$1:$J$50</definedName>
    <definedName name="_xlnm.Print_Area" localSheetId="14">'KOPS 2'!$A$1:$J$49</definedName>
    <definedName name="_xlnm.Print_Area" localSheetId="25">'KOPS 3'!$A$1:$J$38</definedName>
    <definedName name="_xlnm.Print_Area" localSheetId="0">KOPTAME!$A$1:$D$70</definedName>
    <definedName name="_xlnm.Print_Area" localSheetId="8">'L D V 1'!$A$1:$P$65</definedName>
    <definedName name="_xlnm.Print_Area" localSheetId="26">'LAB 3'!$A$1:$P$86</definedName>
    <definedName name="_xlnm.Print_Area" localSheetId="23">'LVRTC 2'!$A$1:$P$43</definedName>
    <definedName name="_xlnm.Print_Area" localSheetId="22">'PKS 2'!$A$1:$P$42</definedName>
    <definedName name="_xlnm.Print_Area" localSheetId="15">'SIE 2'!$A$1:$P$90</definedName>
    <definedName name="_xlnm.Print_Area" localSheetId="11">'SM 1'!$A$1:$P$86</definedName>
    <definedName name="_xlnm.Print_Area" localSheetId="18">'UATS 2'!$A$1:$P$57</definedName>
    <definedName name="_xlnm.Print_Area" localSheetId="17">'UK 2'!$A$1:$P$107</definedName>
    <definedName name="_xlnm.Print_Area" localSheetId="24">'UKT 2'!$A$1:$P$49</definedName>
    <definedName name="_xlnm.Print_Area" localSheetId="12">'VENT 1'!$A$1:$P$108</definedName>
    <definedName name="_xlnm.Print_Area" localSheetId="19">'VNS 2'!$A$1:$P$60</definedName>
    <definedName name="Print_Area_0" localSheetId="16">'KAPN 2'!$A$1:$P$60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" i="30" l="1"/>
  <c r="A19" i="30" s="1"/>
  <c r="D38" i="30"/>
  <c r="D35" i="30"/>
  <c r="D33" i="30"/>
  <c r="F30" i="30"/>
  <c r="F35" i="30" s="1"/>
  <c r="D30" i="30"/>
  <c r="D12" i="30"/>
  <c r="D11" i="30"/>
  <c r="D10" i="30"/>
  <c r="D9" i="30"/>
  <c r="D8" i="30"/>
  <c r="D7" i="30"/>
  <c r="D4" i="29"/>
  <c r="D49" i="29"/>
  <c r="D46" i="29"/>
  <c r="D44" i="29"/>
  <c r="F41" i="29"/>
  <c r="F46" i="29" s="1"/>
  <c r="D41" i="29"/>
  <c r="D12" i="29"/>
  <c r="D11" i="29"/>
  <c r="D10" i="29"/>
  <c r="D9" i="29"/>
  <c r="D8" i="29"/>
  <c r="D7" i="29"/>
  <c r="E53" i="8"/>
  <c r="E53" i="5"/>
  <c r="E52" i="5"/>
  <c r="E44" i="5"/>
  <c r="E54" i="5" l="1"/>
  <c r="E91" i="12"/>
  <c r="E108" i="12"/>
  <c r="E31" i="12"/>
  <c r="E22" i="12"/>
  <c r="E56" i="12" l="1"/>
  <c r="E57" i="12" s="1"/>
  <c r="E55" i="12"/>
  <c r="E54" i="12"/>
  <c r="E53" i="12"/>
  <c r="E38" i="12"/>
  <c r="E22" i="9"/>
  <c r="E32" i="12"/>
  <c r="E35" i="12" s="1"/>
  <c r="E66" i="5"/>
  <c r="E75" i="7"/>
  <c r="E71" i="7"/>
  <c r="E73" i="7"/>
  <c r="E62" i="5"/>
  <c r="E61" i="5"/>
  <c r="E60" i="5"/>
  <c r="E59" i="5"/>
  <c r="E64" i="5" l="1"/>
  <c r="E71" i="5"/>
  <c r="E30" i="9"/>
  <c r="E24" i="9"/>
  <c r="E23" i="9"/>
  <c r="E32" i="9"/>
  <c r="E59" i="12"/>
  <c r="E58" i="12"/>
  <c r="E40" i="12"/>
  <c r="E39" i="12"/>
  <c r="E26" i="9"/>
  <c r="E34" i="12"/>
  <c r="E33" i="12"/>
  <c r="E67" i="5"/>
  <c r="E72" i="7"/>
  <c r="E74" i="7"/>
  <c r="E62" i="7"/>
  <c r="E68" i="7"/>
  <c r="C49" i="26"/>
  <c r="C47" i="26"/>
  <c r="C44" i="26"/>
  <c r="C39" i="26"/>
  <c r="P15" i="26"/>
  <c r="A13" i="26"/>
  <c r="C11" i="26"/>
  <c r="C10" i="26"/>
  <c r="C9" i="26"/>
  <c r="C8" i="26"/>
  <c r="C7" i="26"/>
  <c r="C6" i="26"/>
  <c r="C109" i="25"/>
  <c r="C107" i="25"/>
  <c r="C104" i="25"/>
  <c r="C99" i="25"/>
  <c r="P15" i="25"/>
  <c r="A13" i="25"/>
  <c r="C11" i="25"/>
  <c r="C10" i="25"/>
  <c r="C9" i="25"/>
  <c r="C8" i="25"/>
  <c r="C7" i="25"/>
  <c r="C6" i="25"/>
  <c r="C43" i="24"/>
  <c r="C41" i="24"/>
  <c r="C38" i="24"/>
  <c r="C33" i="24"/>
  <c r="N31" i="24"/>
  <c r="P15" i="24"/>
  <c r="A13" i="24"/>
  <c r="C11" i="24"/>
  <c r="C10" i="24"/>
  <c r="C9" i="24"/>
  <c r="C8" i="24"/>
  <c r="C7" i="24"/>
  <c r="C6" i="24"/>
  <c r="C42" i="23"/>
  <c r="C40" i="23"/>
  <c r="C37" i="23"/>
  <c r="C32" i="23"/>
  <c r="N30" i="23"/>
  <c r="P15" i="23"/>
  <c r="A13" i="23"/>
  <c r="C11" i="23"/>
  <c r="C10" i="23"/>
  <c r="C9" i="23"/>
  <c r="C8" i="23"/>
  <c r="C7" i="23"/>
  <c r="C6" i="23"/>
  <c r="C39" i="22"/>
  <c r="C37" i="22"/>
  <c r="C34" i="22"/>
  <c r="C29" i="22"/>
  <c r="N27" i="22"/>
  <c r="P15" i="22"/>
  <c r="A13" i="22"/>
  <c r="C11" i="22"/>
  <c r="C10" i="22"/>
  <c r="C9" i="22"/>
  <c r="C8" i="22"/>
  <c r="C7" i="22"/>
  <c r="C6" i="22"/>
  <c r="C52" i="21"/>
  <c r="C50" i="21"/>
  <c r="C47" i="21"/>
  <c r="C42" i="21"/>
  <c r="P15" i="21"/>
  <c r="A13" i="21"/>
  <c r="C11" i="21"/>
  <c r="C10" i="21"/>
  <c r="C9" i="21"/>
  <c r="C8" i="21"/>
  <c r="C7" i="21"/>
  <c r="C6" i="21"/>
  <c r="C60" i="20"/>
  <c r="C58" i="20"/>
  <c r="C55" i="20"/>
  <c r="C50" i="20"/>
  <c r="P15" i="20"/>
  <c r="A13" i="20"/>
  <c r="C11" i="20"/>
  <c r="C10" i="20"/>
  <c r="C9" i="20"/>
  <c r="C8" i="20"/>
  <c r="C7" i="20"/>
  <c r="C6" i="20"/>
  <c r="C57" i="19"/>
  <c r="C55" i="19"/>
  <c r="C52" i="19"/>
  <c r="C47" i="19"/>
  <c r="P15" i="19"/>
  <c r="A13" i="19"/>
  <c r="C11" i="19"/>
  <c r="C10" i="19"/>
  <c r="C9" i="19"/>
  <c r="C8" i="19"/>
  <c r="C7" i="19"/>
  <c r="C6" i="19"/>
  <c r="C108" i="18"/>
  <c r="C106" i="18"/>
  <c r="C103" i="18"/>
  <c r="C98" i="18"/>
  <c r="P15" i="18"/>
  <c r="A13" i="18"/>
  <c r="C11" i="18"/>
  <c r="C10" i="18"/>
  <c r="C9" i="18"/>
  <c r="C8" i="18"/>
  <c r="C7" i="18"/>
  <c r="C6" i="18"/>
  <c r="C86" i="17"/>
  <c r="C84" i="17"/>
  <c r="C81" i="17"/>
  <c r="C76" i="17"/>
  <c r="P15" i="17"/>
  <c r="A13" i="17"/>
  <c r="C11" i="17"/>
  <c r="C10" i="17"/>
  <c r="C9" i="17"/>
  <c r="C8" i="17"/>
  <c r="C7" i="17"/>
  <c r="C6" i="17"/>
  <c r="C59" i="16"/>
  <c r="C57" i="16"/>
  <c r="C54" i="16"/>
  <c r="C49" i="16"/>
  <c r="P15" i="16"/>
  <c r="A13" i="16"/>
  <c r="C11" i="16"/>
  <c r="C10" i="16"/>
  <c r="C9" i="16"/>
  <c r="C8" i="16"/>
  <c r="C7" i="16"/>
  <c r="C6" i="16"/>
  <c r="C107" i="15"/>
  <c r="C105" i="15"/>
  <c r="C102" i="15"/>
  <c r="C97" i="15"/>
  <c r="P15" i="15"/>
  <c r="A13" i="15"/>
  <c r="C11" i="15"/>
  <c r="C10" i="15"/>
  <c r="C9" i="15"/>
  <c r="C8" i="15"/>
  <c r="C7" i="15"/>
  <c r="C6" i="15"/>
  <c r="C86" i="14"/>
  <c r="C84" i="14"/>
  <c r="C81" i="14"/>
  <c r="C76" i="14"/>
  <c r="E71" i="14"/>
  <c r="E70" i="14"/>
  <c r="E61" i="14"/>
  <c r="E59" i="14"/>
  <c r="E55" i="14"/>
  <c r="E47" i="14"/>
  <c r="E44" i="14"/>
  <c r="E48" i="14" s="1"/>
  <c r="E42" i="14"/>
  <c r="E36" i="14"/>
  <c r="E39" i="14" s="1"/>
  <c r="E26" i="14"/>
  <c r="E32" i="14" s="1"/>
  <c r="E22" i="14"/>
  <c r="E23" i="14" s="1"/>
  <c r="P16" i="14"/>
  <c r="A14" i="14"/>
  <c r="C12" i="14"/>
  <c r="C11" i="14"/>
  <c r="C10" i="14"/>
  <c r="C9" i="14"/>
  <c r="C8" i="14"/>
  <c r="C7" i="14"/>
  <c r="C59" i="13"/>
  <c r="C57" i="13"/>
  <c r="C54" i="13"/>
  <c r="C49" i="13"/>
  <c r="E34" i="13"/>
  <c r="E25" i="13"/>
  <c r="E24" i="13"/>
  <c r="E27" i="13" s="1"/>
  <c r="P16" i="13"/>
  <c r="A14" i="13"/>
  <c r="C12" i="13"/>
  <c r="C11" i="13"/>
  <c r="C10" i="13"/>
  <c r="C9" i="13"/>
  <c r="C8" i="13"/>
  <c r="C7" i="13"/>
  <c r="C139" i="12"/>
  <c r="C137" i="12"/>
  <c r="C134" i="12"/>
  <c r="C129" i="12"/>
  <c r="E125" i="12"/>
  <c r="E123" i="12"/>
  <c r="E122" i="12"/>
  <c r="E121" i="12"/>
  <c r="E120" i="12"/>
  <c r="E117" i="12"/>
  <c r="E116" i="12"/>
  <c r="E115" i="12"/>
  <c r="E101" i="12"/>
  <c r="E82" i="12"/>
  <c r="E87" i="12" s="1"/>
  <c r="E88" i="12" s="1"/>
  <c r="E81" i="12"/>
  <c r="E80" i="12"/>
  <c r="E79" i="12"/>
  <c r="E76" i="12"/>
  <c r="E75" i="12"/>
  <c r="E74" i="12"/>
  <c r="E69" i="12"/>
  <c r="E68" i="12"/>
  <c r="E67" i="12"/>
  <c r="E66" i="12"/>
  <c r="E65" i="12"/>
  <c r="E47" i="12"/>
  <c r="E44" i="12"/>
  <c r="E23" i="12"/>
  <c r="P16" i="12"/>
  <c r="A14" i="12"/>
  <c r="C12" i="12"/>
  <c r="C11" i="12"/>
  <c r="C10" i="12"/>
  <c r="C9" i="12"/>
  <c r="C8" i="12"/>
  <c r="C7" i="12"/>
  <c r="C65" i="11"/>
  <c r="C63" i="11"/>
  <c r="C60" i="11"/>
  <c r="C55" i="11"/>
  <c r="E51" i="11"/>
  <c r="E45" i="11"/>
  <c r="E44" i="11"/>
  <c r="E43" i="11"/>
  <c r="E36" i="11"/>
  <c r="E34" i="11"/>
  <c r="E35" i="11" s="1"/>
  <c r="E31" i="11"/>
  <c r="E32" i="11" s="1"/>
  <c r="E26" i="11"/>
  <c r="P16" i="11"/>
  <c r="A14" i="11"/>
  <c r="C12" i="11"/>
  <c r="C11" i="11"/>
  <c r="C10" i="11"/>
  <c r="C9" i="11"/>
  <c r="C8" i="11"/>
  <c r="C7" i="11"/>
  <c r="C68" i="10"/>
  <c r="C66" i="10"/>
  <c r="C63" i="10"/>
  <c r="C58" i="10"/>
  <c r="E49" i="10"/>
  <c r="E48" i="10"/>
  <c r="E45" i="10"/>
  <c r="E43" i="10"/>
  <c r="E39" i="10"/>
  <c r="E33" i="10"/>
  <c r="E41" i="10" s="1"/>
  <c r="E42" i="10" s="1"/>
  <c r="E29" i="10"/>
  <c r="E26" i="10"/>
  <c r="E22" i="10"/>
  <c r="P16" i="10"/>
  <c r="A14" i="10"/>
  <c r="C12" i="10"/>
  <c r="C11" i="10"/>
  <c r="C10" i="10"/>
  <c r="C9" i="10"/>
  <c r="C8" i="10"/>
  <c r="C7" i="10"/>
  <c r="C51" i="9"/>
  <c r="C49" i="9"/>
  <c r="C46" i="9"/>
  <c r="C41" i="9"/>
  <c r="P16" i="9"/>
  <c r="A14" i="9"/>
  <c r="C12" i="9"/>
  <c r="C11" i="9"/>
  <c r="C10" i="9"/>
  <c r="C9" i="9"/>
  <c r="C8" i="9"/>
  <c r="C7" i="9"/>
  <c r="C67" i="8"/>
  <c r="C65" i="8"/>
  <c r="C62" i="8"/>
  <c r="C57" i="8"/>
  <c r="E45" i="8"/>
  <c r="E46" i="8" s="1"/>
  <c r="E43" i="8"/>
  <c r="E42" i="8"/>
  <c r="E38" i="8"/>
  <c r="E21" i="8"/>
  <c r="E29" i="8" s="1"/>
  <c r="E31" i="8" s="1"/>
  <c r="P16" i="8"/>
  <c r="A14" i="8"/>
  <c r="C12" i="8"/>
  <c r="C11" i="8"/>
  <c r="C10" i="8"/>
  <c r="C9" i="8"/>
  <c r="C8" i="8"/>
  <c r="C7" i="8"/>
  <c r="C89" i="7"/>
  <c r="C87" i="7"/>
  <c r="C84" i="7"/>
  <c r="C79" i="7"/>
  <c r="E60" i="7"/>
  <c r="E58" i="7"/>
  <c r="E44" i="7"/>
  <c r="E57" i="7" s="1"/>
  <c r="E30" i="7"/>
  <c r="E36" i="7" s="1"/>
  <c r="E21" i="7"/>
  <c r="E22" i="7" s="1"/>
  <c r="P16" i="7"/>
  <c r="A14" i="7"/>
  <c r="C12" i="7"/>
  <c r="C11" i="7"/>
  <c r="C10" i="7"/>
  <c r="C9" i="7"/>
  <c r="C8" i="7"/>
  <c r="C7" i="7"/>
  <c r="C56" i="6"/>
  <c r="C54" i="6"/>
  <c r="C51" i="6"/>
  <c r="C46" i="6"/>
  <c r="E37" i="6"/>
  <c r="E23" i="6"/>
  <c r="E22" i="6"/>
  <c r="E42" i="6" s="1"/>
  <c r="P16" i="6"/>
  <c r="A14" i="6"/>
  <c r="C12" i="6"/>
  <c r="C11" i="6"/>
  <c r="C10" i="6"/>
  <c r="C9" i="6"/>
  <c r="C8" i="6"/>
  <c r="C7" i="6"/>
  <c r="C85" i="5"/>
  <c r="C83" i="5"/>
  <c r="C80" i="5"/>
  <c r="C75" i="5"/>
  <c r="E49" i="5"/>
  <c r="E48" i="5"/>
  <c r="E47" i="5"/>
  <c r="E45" i="5"/>
  <c r="E43" i="5"/>
  <c r="E42" i="5"/>
  <c r="E39" i="5"/>
  <c r="E36" i="5"/>
  <c r="E35" i="5"/>
  <c r="E32" i="5"/>
  <c r="E31" i="5"/>
  <c r="E30" i="5"/>
  <c r="E29" i="5"/>
  <c r="E28" i="5"/>
  <c r="E27" i="5"/>
  <c r="E26" i="5"/>
  <c r="E23" i="5"/>
  <c r="E22" i="5"/>
  <c r="P16" i="5"/>
  <c r="A14" i="5"/>
  <c r="C12" i="5"/>
  <c r="C11" i="5"/>
  <c r="C10" i="5"/>
  <c r="C9" i="5"/>
  <c r="C8" i="5"/>
  <c r="C7" i="5"/>
  <c r="C55" i="4"/>
  <c r="C53" i="4"/>
  <c r="C50" i="4"/>
  <c r="C45" i="4"/>
  <c r="E41" i="4"/>
  <c r="E40" i="4"/>
  <c r="P16" i="4"/>
  <c r="A14" i="4"/>
  <c r="C12" i="4"/>
  <c r="C11" i="4"/>
  <c r="C10" i="4"/>
  <c r="C9" i="4"/>
  <c r="C8" i="4"/>
  <c r="C7" i="4"/>
  <c r="D50" i="3"/>
  <c r="D47" i="3"/>
  <c r="D45" i="3"/>
  <c r="F42" i="3"/>
  <c r="E45" i="4" s="1"/>
  <c r="E50" i="4" s="1"/>
  <c r="D42" i="3"/>
  <c r="D12" i="3"/>
  <c r="D11" i="3"/>
  <c r="D10" i="3"/>
  <c r="D9" i="3"/>
  <c r="D8" i="3"/>
  <c r="D7" i="3"/>
  <c r="D4" i="3"/>
  <c r="E39" i="6" l="1"/>
  <c r="E40" i="6" s="1"/>
  <c r="E24" i="14"/>
  <c r="E31" i="6"/>
  <c r="E32" i="6"/>
  <c r="E23" i="10"/>
  <c r="L43" i="4"/>
  <c r="E35" i="6"/>
  <c r="E36" i="6" s="1"/>
  <c r="E41" i="6"/>
  <c r="E44" i="8"/>
  <c r="E34" i="10"/>
  <c r="E22" i="8"/>
  <c r="E23" i="8" s="1"/>
  <c r="E50" i="8"/>
  <c r="E49" i="8"/>
  <c r="E47" i="8"/>
  <c r="E35" i="10"/>
  <c r="E33" i="11"/>
  <c r="E33" i="14"/>
  <c r="E51" i="14"/>
  <c r="E34" i="9"/>
  <c r="E25" i="9"/>
  <c r="L40" i="21"/>
  <c r="L27" i="22"/>
  <c r="L30" i="23"/>
  <c r="E68" i="5"/>
  <c r="E27" i="9"/>
  <c r="E33" i="9"/>
  <c r="E31" i="9"/>
  <c r="E46" i="6"/>
  <c r="E51" i="6" s="1"/>
  <c r="F47" i="3"/>
  <c r="E75" i="5"/>
  <c r="E80" i="5" s="1"/>
  <c r="E93" i="12"/>
  <c r="E83" i="12"/>
  <c r="E24" i="5"/>
  <c r="E64" i="7"/>
  <c r="E70" i="7"/>
  <c r="E69" i="7"/>
  <c r="E63" i="7"/>
  <c r="E23" i="7"/>
  <c r="E24" i="7"/>
  <c r="E27" i="7"/>
  <c r="O43" i="4"/>
  <c r="E38" i="6"/>
  <c r="E48" i="12"/>
  <c r="E50" i="12"/>
  <c r="E49" i="12"/>
  <c r="N43" i="4"/>
  <c r="E63" i="14"/>
  <c r="E64" i="14"/>
  <c r="E65" i="14"/>
  <c r="E24" i="6"/>
  <c r="E32" i="8"/>
  <c r="E39" i="8"/>
  <c r="E34" i="8"/>
  <c r="E33" i="8"/>
  <c r="E30" i="8"/>
  <c r="E70" i="12"/>
  <c r="E71" i="12"/>
  <c r="E39" i="26"/>
  <c r="E44" i="26" s="1"/>
  <c r="E99" i="25"/>
  <c r="E104" i="25" s="1"/>
  <c r="E29" i="22"/>
  <c r="E34" i="22" s="1"/>
  <c r="E50" i="20"/>
  <c r="E55" i="20" s="1"/>
  <c r="E47" i="19"/>
  <c r="E52" i="19" s="1"/>
  <c r="E33" i="24"/>
  <c r="E38" i="24" s="1"/>
  <c r="E32" i="23"/>
  <c r="E37" i="23" s="1"/>
  <c r="E42" i="21"/>
  <c r="E47" i="21" s="1"/>
  <c r="E98" i="18"/>
  <c r="E103" i="18" s="1"/>
  <c r="E76" i="17"/>
  <c r="E81" i="17" s="1"/>
  <c r="E49" i="13"/>
  <c r="E54" i="13" s="1"/>
  <c r="E97" i="15"/>
  <c r="E102" i="15" s="1"/>
  <c r="E76" i="14"/>
  <c r="E81" i="14" s="1"/>
  <c r="E55" i="11"/>
  <c r="E60" i="11" s="1"/>
  <c r="E49" i="16"/>
  <c r="E54" i="16" s="1"/>
  <c r="E129" i="12"/>
  <c r="E134" i="12" s="1"/>
  <c r="E58" i="10"/>
  <c r="E63" i="10" s="1"/>
  <c r="E41" i="9"/>
  <c r="E46" i="9" s="1"/>
  <c r="E57" i="8"/>
  <c r="E62" i="8" s="1"/>
  <c r="E34" i="6"/>
  <c r="E25" i="7"/>
  <c r="E51" i="7"/>
  <c r="E54" i="7"/>
  <c r="E56" i="7"/>
  <c r="E45" i="7"/>
  <c r="E26" i="8"/>
  <c r="E24" i="8"/>
  <c r="E25" i="8"/>
  <c r="E48" i="8"/>
  <c r="E39" i="7"/>
  <c r="E41" i="7"/>
  <c r="E42" i="7"/>
  <c r="E43" i="7"/>
  <c r="E31" i="7"/>
  <c r="E79" i="7"/>
  <c r="E84" i="7" s="1"/>
  <c r="E46" i="10"/>
  <c r="E27" i="10"/>
  <c r="E25" i="10"/>
  <c r="E124" i="12"/>
  <c r="E31" i="10"/>
  <c r="E30" i="10"/>
  <c r="E98" i="12"/>
  <c r="E103" i="12"/>
  <c r="E99" i="12"/>
  <c r="E100" i="12"/>
  <c r="E45" i="12"/>
  <c r="E46" i="12"/>
  <c r="E89" i="12"/>
  <c r="E84" i="12"/>
  <c r="E92" i="12"/>
  <c r="E95" i="12"/>
  <c r="E37" i="11"/>
  <c r="E26" i="12"/>
  <c r="E86" i="12"/>
  <c r="E24" i="12"/>
  <c r="E25" i="12"/>
  <c r="E109" i="12"/>
  <c r="E94" i="12"/>
  <c r="E60" i="14"/>
  <c r="E37" i="10"/>
  <c r="E85" i="12"/>
  <c r="E40" i="14"/>
  <c r="L95" i="15"/>
  <c r="E29" i="13"/>
  <c r="E28" i="14"/>
  <c r="E37" i="14"/>
  <c r="E38" i="14" s="1"/>
  <c r="E46" i="14"/>
  <c r="E29" i="14"/>
  <c r="E31" i="14"/>
  <c r="E45" i="14"/>
  <c r="E56" i="14"/>
  <c r="N47" i="16"/>
  <c r="E43" i="14"/>
  <c r="N95" i="15"/>
  <c r="L47" i="16"/>
  <c r="E27" i="14"/>
  <c r="E30" i="14"/>
  <c r="E50" i="14"/>
  <c r="L74" i="17"/>
  <c r="N45" i="19"/>
  <c r="L45" i="19"/>
  <c r="N96" i="18"/>
  <c r="L48" i="20"/>
  <c r="N40" i="21"/>
  <c r="L31" i="24"/>
  <c r="N48" i="20"/>
  <c r="L37" i="26"/>
  <c r="L97" i="25"/>
  <c r="N37" i="26"/>
  <c r="L96" i="18" l="1"/>
  <c r="M31" i="24"/>
  <c r="N97" i="25"/>
  <c r="M37" i="26"/>
  <c r="P43" i="4"/>
  <c r="M27" i="22"/>
  <c r="E69" i="5"/>
  <c r="E56" i="5"/>
  <c r="E67" i="7"/>
  <c r="E66" i="7"/>
  <c r="E40" i="8"/>
  <c r="E41" i="8"/>
  <c r="E57" i="14"/>
  <c r="E58" i="14"/>
  <c r="E112" i="12"/>
  <c r="E110" i="12"/>
  <c r="E111" i="12"/>
  <c r="E32" i="10"/>
  <c r="E53" i="14"/>
  <c r="E32" i="7"/>
  <c r="E33" i="7"/>
  <c r="E38" i="7"/>
  <c r="E37" i="7"/>
  <c r="E27" i="8"/>
  <c r="E28" i="8"/>
  <c r="E30" i="13"/>
  <c r="E31" i="13"/>
  <c r="E32" i="13"/>
  <c r="O30" i="23"/>
  <c r="M48" i="20"/>
  <c r="E41" i="14"/>
  <c r="E38" i="11"/>
  <c r="E53" i="7"/>
  <c r="E52" i="7"/>
  <c r="E46" i="7"/>
  <c r="E47" i="7"/>
  <c r="O45" i="19"/>
  <c r="E55" i="7"/>
  <c r="E25" i="6"/>
  <c r="E29" i="6"/>
  <c r="E27" i="6"/>
  <c r="E26" i="6"/>
  <c r="O31" i="24"/>
  <c r="P31" i="24"/>
  <c r="O27" i="22"/>
  <c r="N74" i="17"/>
  <c r="E40" i="7"/>
  <c r="E49" i="14"/>
  <c r="O37" i="26"/>
  <c r="M40" i="21"/>
  <c r="E106" i="12"/>
  <c r="E104" i="12"/>
  <c r="E38" i="10"/>
  <c r="M30" i="23"/>
  <c r="M97" i="25"/>
  <c r="M45" i="19"/>
  <c r="P37" i="26"/>
  <c r="O13" i="26" s="1"/>
  <c r="M74" i="17"/>
  <c r="E27" i="12"/>
  <c r="E28" i="12"/>
  <c r="E29" i="12"/>
  <c r="E35" i="8"/>
  <c r="E36" i="8"/>
  <c r="E37" i="8"/>
  <c r="M43" i="4"/>
  <c r="E28" i="7"/>
  <c r="M95" i="15" l="1"/>
  <c r="M47" i="16"/>
  <c r="P27" i="22"/>
  <c r="O47" i="16"/>
  <c r="M96" i="18"/>
  <c r="O73" i="5"/>
  <c r="N39" i="9"/>
  <c r="L39" i="9"/>
  <c r="M39" i="9"/>
  <c r="N73" i="5"/>
  <c r="M73" i="5"/>
  <c r="O13" i="22"/>
  <c r="E30" i="6"/>
  <c r="E49" i="7"/>
  <c r="E50" i="7"/>
  <c r="E105" i="12"/>
  <c r="P40" i="21"/>
  <c r="O40" i="21"/>
  <c r="O96" i="18"/>
  <c r="P45" i="19"/>
  <c r="O13" i="19" s="1"/>
  <c r="E52" i="14"/>
  <c r="O13" i="24"/>
  <c r="E34" i="7"/>
  <c r="E35" i="7"/>
  <c r="E52" i="8"/>
  <c r="E51" i="8"/>
  <c r="O74" i="17"/>
  <c r="P30" i="23"/>
  <c r="P74" i="17"/>
  <c r="P97" i="25"/>
  <c r="O95" i="15"/>
  <c r="N53" i="11"/>
  <c r="L53" i="11"/>
  <c r="P48" i="20"/>
  <c r="O97" i="25"/>
  <c r="P47" i="16"/>
  <c r="O48" i="20"/>
  <c r="N47" i="13" l="1"/>
  <c r="P95" i="15"/>
  <c r="O13" i="15" s="1"/>
  <c r="L47" i="13"/>
  <c r="L73" i="5"/>
  <c r="M47" i="13"/>
  <c r="P96" i="18"/>
  <c r="O13" i="18" s="1"/>
  <c r="P73" i="5"/>
  <c r="O39" i="9"/>
  <c r="P39" i="9"/>
  <c r="O13" i="21"/>
  <c r="O13" i="23"/>
  <c r="N74" i="14"/>
  <c r="H23" i="30" s="1"/>
  <c r="M74" i="14"/>
  <c r="L74" i="14"/>
  <c r="J23" i="30" s="1"/>
  <c r="E15" i="30" s="1"/>
  <c r="O47" i="13"/>
  <c r="O74" i="14"/>
  <c r="I23" i="30" s="1"/>
  <c r="O13" i="17"/>
  <c r="M53" i="11"/>
  <c r="O13" i="20"/>
  <c r="O53" i="11"/>
  <c r="L56" i="10"/>
  <c r="O13" i="25"/>
  <c r="O13" i="16"/>
  <c r="O44" i="6"/>
  <c r="N44" i="6"/>
  <c r="L44" i="6"/>
  <c r="M44" i="6"/>
  <c r="O55" i="8"/>
  <c r="N127" i="12"/>
  <c r="M127" i="12"/>
  <c r="L127" i="12"/>
  <c r="O77" i="7" l="1"/>
  <c r="I34" i="29" s="1"/>
  <c r="L77" i="7"/>
  <c r="J34" i="29" s="1"/>
  <c r="E15" i="29" s="1"/>
  <c r="N56" i="10"/>
  <c r="M55" i="8"/>
  <c r="G23" i="30"/>
  <c r="F23" i="30"/>
  <c r="M77" i="7"/>
  <c r="N77" i="7"/>
  <c r="H34" i="29" s="1"/>
  <c r="P47" i="13"/>
  <c r="O14" i="13" s="1"/>
  <c r="L55" i="8"/>
  <c r="J35" i="3" s="1"/>
  <c r="N55" i="8"/>
  <c r="O14" i="9"/>
  <c r="P127" i="12"/>
  <c r="O14" i="12" s="1"/>
  <c r="O127" i="12"/>
  <c r="P74" i="14"/>
  <c r="O14" i="14" s="1"/>
  <c r="P44" i="6"/>
  <c r="O14" i="6" s="1"/>
  <c r="M56" i="10"/>
  <c r="P53" i="11"/>
  <c r="O14" i="11" s="1"/>
  <c r="P55" i="8" l="1"/>
  <c r="O14" i="8" s="1"/>
  <c r="F34" i="29"/>
  <c r="G34" i="29"/>
  <c r="P77" i="7"/>
  <c r="O14" i="7" s="1"/>
  <c r="H35" i="3"/>
  <c r="G35" i="3"/>
  <c r="P56" i="10"/>
  <c r="O14" i="10" s="1"/>
  <c r="E15" i="3"/>
  <c r="O56" i="10"/>
  <c r="F37" i="29" l="1"/>
  <c r="F35" i="29"/>
  <c r="F27" i="30"/>
  <c r="F35" i="3"/>
  <c r="I35" i="3"/>
  <c r="D41" i="2" l="1"/>
  <c r="D43" i="2" s="1"/>
  <c r="D44" i="2" s="1"/>
  <c r="D45" i="2" s="1"/>
  <c r="E14" i="30"/>
  <c r="F38" i="29"/>
  <c r="F36" i="29"/>
  <c r="D33" i="2" l="1"/>
  <c r="D35" i="2" s="1"/>
  <c r="D36" i="2" s="1"/>
  <c r="D37" i="2" s="1"/>
  <c r="E14" i="29"/>
  <c r="D25" i="2"/>
  <c r="D27" i="2" l="1"/>
  <c r="D28" i="2" s="1"/>
  <c r="D29" i="2" s="1"/>
  <c r="D49" i="2"/>
  <c r="E14" i="3"/>
  <c r="D51" i="2" l="1"/>
  <c r="D52" i="2" s="1"/>
  <c r="D53" i="2" s="1"/>
</calcChain>
</file>

<file path=xl/sharedStrings.xml><?xml version="1.0" encoding="utf-8"?>
<sst xmlns="http://schemas.openxmlformats.org/spreadsheetml/2006/main" count="3291" uniqueCount="881">
  <si>
    <t>7. pielikums LBN 501-17</t>
  </si>
  <si>
    <t>Latvijas būvnormatīvam LBN 501-17</t>
  </si>
  <si>
    <t>"Būvizmaksu noteikšanas kārtība"</t>
  </si>
  <si>
    <t>(Apstiprināts ar Ministru kabineta</t>
  </si>
  <si>
    <t>2017. gada 3. maija</t>
  </si>
  <si>
    <t>noteikumiem Nr.  239)</t>
  </si>
  <si>
    <t>APSTIPRINU</t>
  </si>
  <si>
    <t>(paraksts un tā atsifrejums)</t>
  </si>
  <si>
    <t>Z.v.</t>
  </si>
  <si>
    <t>BŪVNIECĪBAS KOPTĀME</t>
  </si>
  <si>
    <t>Objekta nosaukums:</t>
  </si>
  <si>
    <t>VALGUNDES PAGASTA PĀRVALDES ĒKAS ENERGOEFEKTIVITĀTES PAAGUSTINĀŠANA</t>
  </si>
  <si>
    <t>Būves nosaukums:</t>
  </si>
  <si>
    <t>VALGUNDES PAGASTA PĀRVALDES ĒKA</t>
  </si>
  <si>
    <t>Objekta adrese:</t>
  </si>
  <si>
    <t>CELTNIEKU IELA 35, VALGUNDE, JELGAVAS NOVADS</t>
  </si>
  <si>
    <t>Pasūtītājs:</t>
  </si>
  <si>
    <t>JELGAVAS NOVADA PAŠVALDĪBA</t>
  </si>
  <si>
    <t>Pasūtījuma Nr.:</t>
  </si>
  <si>
    <t>Pretendents:</t>
  </si>
  <si>
    <t>Nr. P.k.</t>
  </si>
  <si>
    <t>OBJEKTA NOSAUKUMS</t>
  </si>
  <si>
    <t>OBJEKTA IZMAKSAS (EURO)</t>
  </si>
  <si>
    <t>KOPĀ BEZ PVN 21%</t>
  </si>
  <si>
    <t>PVN 21%</t>
  </si>
  <si>
    <t>PAVISAM KOPĀ AR PVN 21%</t>
  </si>
  <si>
    <t>Sastādīja:</t>
  </si>
  <si>
    <t>(paraksts un tā atsifrejums, datums)</t>
  </si>
  <si>
    <t>Pārbaudīja:</t>
  </si>
  <si>
    <t>6. pielikums LBN 501-17</t>
  </si>
  <si>
    <t>KOPSAVILKUMA APRĒĶINS Nr.1</t>
  </si>
  <si>
    <t>(būvdarbu veids vai kosntruktīvā elementa nosaukums)</t>
  </si>
  <si>
    <t>Par kopējo summu (EURO)</t>
  </si>
  <si>
    <t>Kopēja darbietilpība (c/h)</t>
  </si>
  <si>
    <t>Nr. p.k</t>
  </si>
  <si>
    <t>Kods, tāme Nr.</t>
  </si>
  <si>
    <t>Saisinājums</t>
  </si>
  <si>
    <t>Būvdarbu veids vai konstruktīvā elementa nosaukums</t>
  </si>
  <si>
    <t>Tāmes izmaksa EUR</t>
  </si>
  <si>
    <t>Tai skaitā</t>
  </si>
  <si>
    <t>Darb-ietilpība c/h</t>
  </si>
  <si>
    <t>Darba alga EUR</t>
  </si>
  <si>
    <t>Būvizstrādājumi EUR</t>
  </si>
  <si>
    <t>Mehānismi EUR</t>
  </si>
  <si>
    <t>1. BŪVDARBI</t>
  </si>
  <si>
    <t>1--1</t>
  </si>
  <si>
    <t>BŪVLAUKUMA SAGATAVOŠANA UN UZTURĒŠANA</t>
  </si>
  <si>
    <t>1--2</t>
  </si>
  <si>
    <t>DEMONTĀŽAS  DARBI</t>
  </si>
  <si>
    <t>1--3</t>
  </si>
  <si>
    <t>COKOLA SILTINĀŠANA</t>
  </si>
  <si>
    <t>1--4</t>
  </si>
  <si>
    <t>LOGU AILU AIZMŪRĒŠANA UN STARPSIENU IZBŪVE</t>
  </si>
  <si>
    <t>1--5</t>
  </si>
  <si>
    <t>FASĀDES APDARE</t>
  </si>
  <si>
    <t>PIRMĀ STĀVA GRĪDAS IZBŪVE</t>
  </si>
  <si>
    <t>1–7</t>
  </si>
  <si>
    <t>JUMTA IZBŪVE</t>
  </si>
  <si>
    <t>1–8</t>
  </si>
  <si>
    <t>LOGI, DURVIS, VITRĪNAS</t>
  </si>
  <si>
    <t>IEKŠĒJĀ APDARE</t>
  </si>
  <si>
    <t>KĀPŅU REMONTS UN MARGU IZBŪVE</t>
  </si>
  <si>
    <t>LABIEKĀRTOŠANAS DARBI</t>
  </si>
  <si>
    <t>2. IEKŠĒJIE SPECIĀLIE BŪVDARBI</t>
  </si>
  <si>
    <t>ŪDENSVADS UN KANALIZĀCIJA</t>
  </si>
  <si>
    <t>APKURE</t>
  </si>
  <si>
    <t>SM</t>
  </si>
  <si>
    <t>SILTUMMEZGLS</t>
  </si>
  <si>
    <t>2–4</t>
  </si>
  <si>
    <t>VENT</t>
  </si>
  <si>
    <t>VENTILĀCIJA</t>
  </si>
  <si>
    <t>UGUSNGRĒKA ATKLĀŠANAS UN TRAUKSMES SIGNALIZĀCIJA</t>
  </si>
  <si>
    <t>VIDEO NOVĒROŠANAS SISTĒMA</t>
  </si>
  <si>
    <t>APSARDZES SIGNALIZĀCIJAS SISTĒMA</t>
  </si>
  <si>
    <t>INVALĪDU TUALETES TRAUKSMES IZZIŅOŠANAS SISTĒMA</t>
  </si>
  <si>
    <t>PIEKĻUVES KONTROLES SISTĒMA</t>
  </si>
  <si>
    <t>LVRTC SKAPJA PĀRVIETOŠANA</t>
  </si>
  <si>
    <t>EL</t>
  </si>
  <si>
    <t>ELEKTROMONTĀŽAS DARBI</t>
  </si>
  <si>
    <t>3. ĀRĒJIE SPECIĀLIE BŪVDARBI</t>
  </si>
  <si>
    <t>ĀRĒJA ŪDENSAPGĀDES UN KANALIZĀCIJAS SISTĒMA</t>
  </si>
  <si>
    <t>KOPĀ</t>
  </si>
  <si>
    <t>Virsizdevumi</t>
  </si>
  <si>
    <t>t.sk. Darba aizsardzība</t>
  </si>
  <si>
    <t>Peļņa</t>
  </si>
  <si>
    <t>Pavisam kopā</t>
  </si>
  <si>
    <t>(paraksts un tā atšifrējums, datums)</t>
  </si>
  <si>
    <t>5. pielikums LBN 501-17</t>
  </si>
  <si>
    <t>LOKĀLA TĀME Nr.</t>
  </si>
  <si>
    <t>(Būvdarbu veids vai kosntruktīva elementa nosaukums)</t>
  </si>
  <si>
    <t>Tāmes izmaksas</t>
  </si>
  <si>
    <t>EURO</t>
  </si>
  <si>
    <t>Nr. p.k.</t>
  </si>
  <si>
    <t>Kods</t>
  </si>
  <si>
    <t>Būvdarbu nosaukums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</si>
  <si>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</si>
  <si>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</si>
  <si>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</si>
  <si>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</si>
  <si>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</si>
  <si>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</si>
  <si>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</si>
  <si>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</si>
  <si>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</si>
  <si>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</si>
  <si>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>Darbietilpība (c/h)</t>
  </si>
  <si>
    <t>Summa (EUR)</t>
  </si>
  <si>
    <t>1. BŪVLAUKUMA SAGATAVOŠANA</t>
  </si>
  <si>
    <t>Līgumcena</t>
  </si>
  <si>
    <t>Pagaidu būvžoga montāža, demontāža un noma</t>
  </si>
  <si>
    <t>tek.m</t>
  </si>
  <si>
    <t>Drošības zīmes uz žoga</t>
  </si>
  <si>
    <t>kompl</t>
  </si>
  <si>
    <t>Pagaidu vārtu 4 m  montāža, demontāža un noma</t>
  </si>
  <si>
    <t>gab</t>
  </si>
  <si>
    <t>Pagaidu vārtu 1 m  montāža, demontāža un noma</t>
  </si>
  <si>
    <t>WC kabīnes montāža</t>
  </si>
  <si>
    <t>Celtnieku konteinera piegāde, montāža, demontāža un aizvešana atpakaļ</t>
  </si>
  <si>
    <t>Ugunsdzēsības stends ar ugunsdzēšamo aparātu</t>
  </si>
  <si>
    <t>Būvtāfeles un informatīvās plāksnes izgatavošana un montāža</t>
  </si>
  <si>
    <t>Pagaidu elektropieslēguma izbūve</t>
  </si>
  <si>
    <t>Pagaidu elektropieslēguma kabeļa montāža</t>
  </si>
  <si>
    <t>Būvlaukuma pagaidu apgaismojums</t>
  </si>
  <si>
    <t>Fasādes sastatņu piegāde, montāža, demontāža ar sietu</t>
  </si>
  <si>
    <t>m2</t>
  </si>
  <si>
    <t>Būvmateriālu krautnes laukums</t>
  </si>
  <si>
    <t>Citi būvlaukuma ierīkošanas darbi</t>
  </si>
  <si>
    <t>cilv/st</t>
  </si>
  <si>
    <t>2. BŪVLAUKUMA UZTURĒŠANA</t>
  </si>
  <si>
    <t>mēn.</t>
  </si>
  <si>
    <t>WC kabīnes noma ar apkalpošanu 4 reizes mēnesī</t>
  </si>
  <si>
    <t>Celtnieku konteinera noma</t>
  </si>
  <si>
    <t>Pagaidu žoga ar vārtiem noma</t>
  </si>
  <si>
    <t>Sastatņu noma</t>
  </si>
  <si>
    <t>Būvgružu savākšana, iekraušana konteineros, izvešana un utilizācija</t>
  </si>
  <si>
    <t>kont</t>
  </si>
  <si>
    <t>Tiešās izmaksas kopā, t.sk. Darba devēja sociālais nodoklis (23,59%)</t>
  </si>
  <si>
    <t>1. DEMONTĀŽAS DARBI.</t>
  </si>
  <si>
    <t>Esošo logu rūpīga demontāža</t>
  </si>
  <si>
    <t>Logu ārējo palodžu demontāža</t>
  </si>
  <si>
    <t>Logu iekšējo palodžu demontāža</t>
  </si>
  <si>
    <t>Esošo ārējo durvju rūpīga demontāža</t>
  </si>
  <si>
    <t>Esošo iekšējo durvju ar klēdēm rūpīga demontāža</t>
  </si>
  <si>
    <t>Esošo logu un durvju ailes apdares demontāža</t>
  </si>
  <si>
    <t>Jumta  seguma demontāža ar apakšklāju</t>
  </si>
  <si>
    <t>Jumta veja kastes demontāža</t>
  </si>
  <si>
    <t>Jumta skārda parapeta demontāža</t>
  </si>
  <si>
    <t>Jumta teknu demontāža</t>
  </si>
  <si>
    <t>Jumta noteku demontāža</t>
  </si>
  <si>
    <t>Pagalma puses uzjumteņa (S=~2,5 m2) demontāža ar metāla nesošām kolonnam</t>
  </si>
  <si>
    <t>Sānu puses uzjumteņa (S=~2,5 m2) demontāža ar metāla nesošām kolonnam</t>
  </si>
  <si>
    <t>Ieejas mezgla uzjumteņa  jumta seguma rupīga demontāža</t>
  </si>
  <si>
    <t>Ieejas mezgla uzjumteņa  noteku un teknu rūpīga demontāža</t>
  </si>
  <si>
    <t>Pagalma puses betona lieveņu ar flīzēto virsmu demontāža  (S=~5,6 m2, V=~2,8 m3)</t>
  </si>
  <si>
    <t>Fasādes puses betona lieveņu ar flīzēto virsmu demontāža  (S=~10 m2, V=~4,5 m3)</t>
  </si>
  <si>
    <t>Ieejas mezglu lieveņū margu demontāža</t>
  </si>
  <si>
    <t>Esošo kondicionieru rūpīga demontāža uz būvdarbu laiku un montāža atpakaļ, paredzot jaunus stiprinājumus un kabeļu un cauruļu pagarināšana</t>
  </si>
  <si>
    <t>Esošo videokameru ar kabeļiem un palīgierīcem rūpīga demontāža uz būvdarbu laiku un montāža atpakaļ, paredzot jaunus stiprinājumus un kabeļu pagarināšanu</t>
  </si>
  <si>
    <t>Esošā bruģa seguma rūpīga demontāža</t>
  </si>
  <si>
    <t>Esošas betona apmales rūpīga demontāža</t>
  </si>
  <si>
    <t>Esošo starpsienu demontāža, b=15 cm</t>
  </si>
  <si>
    <t>Durvju ailu izveide</t>
  </si>
  <si>
    <t>vietas</t>
  </si>
  <si>
    <t>Ventilācijas guļvada demontāža 2.stāvā</t>
  </si>
  <si>
    <t>Poligrāna apdares noņemšana no dzezlbetona paneliem</t>
  </si>
  <si>
    <t>Poligrāna apdares noņemšana no cokola</t>
  </si>
  <si>
    <t>Betona plātņu demontāža</t>
  </si>
  <si>
    <t>Ceļiņa fragmenta demontāža</t>
  </si>
  <si>
    <t>Esošo reperu saglabāšana</t>
  </si>
  <si>
    <t>Citi demontāžas darbi</t>
  </si>
  <si>
    <t>Būvgružu savākšana, izvešana un utilizācija</t>
  </si>
  <si>
    <t>m3</t>
  </si>
  <si>
    <t>1. COKOLA SILTINĀŠANA</t>
  </si>
  <si>
    <t>Pamatu rūpīga atrakšana, dziļumā līdz 500 mm no grunts virsmas</t>
  </si>
  <si>
    <t>Pamatu virsmas tīrīšana</t>
  </si>
  <si>
    <t>Pamatu virsmas gruntēšana, līdzināšana līdz 20 mm</t>
  </si>
  <si>
    <t>Grunts</t>
  </si>
  <si>
    <t>l</t>
  </si>
  <si>
    <t>Apmetuma siets</t>
  </si>
  <si>
    <t>Apmetuma java</t>
  </si>
  <si>
    <t>kg</t>
  </si>
  <si>
    <t>Palīgmatereiali</t>
  </si>
  <si>
    <t>Jaunās hidroizolācijas divās kārtās izveide</t>
  </si>
  <si>
    <t>Bitumena mastika</t>
  </si>
  <si>
    <t xml:space="preserve"> Siltumizolācijas kārtas montāža (siltumvadītspēja 0,038 W/mK)</t>
  </si>
  <si>
    <t>Ekstrudēts putupolistirols, 100 mm</t>
  </si>
  <si>
    <t>Putupolistirola montāžas stiprinājumi</t>
  </si>
  <si>
    <t>Bitumena  līme</t>
  </si>
  <si>
    <t>Siltumizolācijas kārtas  dubulta armēšana</t>
  </si>
  <si>
    <t>Stiklašķiedras siets</t>
  </si>
  <si>
    <t>Stiklašķiedras stūris</t>
  </si>
  <si>
    <t>Līmjava</t>
  </si>
  <si>
    <t>Cokola dekoratīva apmetuma izveide</t>
  </si>
  <si>
    <t>Tonēts dekoratīvais apmetums</t>
  </si>
  <si>
    <t>Palīgmateriāli</t>
  </si>
  <si>
    <t>Pamatu aizberšana ar esošo grunti, blietējot pa kārtām</t>
  </si>
  <si>
    <t>1. LOGAILU AIZMŪRĒŠANA. AR-2</t>
  </si>
  <si>
    <t>Esošo logailu aizmūrēšana (sienas biezums 250 mm)</t>
  </si>
  <si>
    <t>Keramzītbetona bloks 3MPa, 250 mm</t>
  </si>
  <si>
    <t>Murjava</t>
  </si>
  <si>
    <t>Armējums</t>
  </si>
  <si>
    <t>Mūrnieku sasttaņu, noma, montāža, demontāža, pārvietošana</t>
  </si>
  <si>
    <t>Aizmūrēto logailu apmešana (slānis līdz 15 mm)</t>
  </si>
  <si>
    <t>2. IEKŠSIENAS  S-1</t>
  </si>
  <si>
    <t xml:space="preserve">Reģipša starpsienas S1 izveide, 125 mm </t>
  </si>
  <si>
    <t>Starpsiernu profils vertikāls CW 100 mm</t>
  </si>
  <si>
    <t>Starpsiernu profils horizontāls UW 100 mm</t>
  </si>
  <si>
    <t>Amortizācijas lenta 95 mm</t>
  </si>
  <si>
    <t>Dībeļi profilu montāžai</t>
  </si>
  <si>
    <t>Skrūves profilu saskrūvēšanai</t>
  </si>
  <si>
    <t>Siltumizolācijas  vates plāksnes, 100 mm</t>
  </si>
  <si>
    <t>Ģipškartona plāksnes, GKF/GKBI/GKB, 12,5 mm</t>
  </si>
  <si>
    <t>Regipša skrūves</t>
  </si>
  <si>
    <t>Stiklašķiedras sieta lenta</t>
  </si>
  <si>
    <t>3. IEKŠSIENAS  S-2</t>
  </si>
  <si>
    <t xml:space="preserve">Reģipša starpsienas S2 izveide, 125mm </t>
  </si>
  <si>
    <t>Pastiprinātais durvju profils</t>
  </si>
  <si>
    <t>4. SANMEZGLA STARPSIENAS</t>
  </si>
  <si>
    <t>Sanmezgla starpsienu izgatavošana, piegāde un montāža ar durvīm (4 gab) no mitrumizturīga saplākšņa aluminijā rāmī</t>
  </si>
  <si>
    <t>1. FASĀDES APDARE</t>
  </si>
  <si>
    <t>Sienu virsmas tīrīšana, gruntēšana, līdzināšana līdz 20 mm</t>
  </si>
  <si>
    <t>Fasādes virsmas izlīdzināšana ar apmetumu poru aizveršanai, vidēji līdz 20 mm</t>
  </si>
  <si>
    <t>Siltumizolācijas montāža, 150 mm</t>
  </si>
  <si>
    <t>Līmjava siltumizolācijas montāžai</t>
  </si>
  <si>
    <t>Dībeļi</t>
  </si>
  <si>
    <t>Fasādes vate, 150 mm, λ vērtība  0.036</t>
  </si>
  <si>
    <t>Siltumizolācijas armēšana</t>
  </si>
  <si>
    <t>Stiklašķiedras siets (dubulta kārta)</t>
  </si>
  <si>
    <t>Stūris ēku siltināšanai</t>
  </si>
  <si>
    <t>Dekoratīvā apmetuma ierīkošana</t>
  </si>
  <si>
    <t xml:space="preserve">Tonēts apmetums </t>
  </si>
  <si>
    <t>Cokola profila ar skārda lāseņi izgatavošana  un montāža</t>
  </si>
  <si>
    <t>Profila ar skārda lāseņi izgatavošana  un montāža virs siltumizolācijas, asīs 1 un asīs 2</t>
  </si>
  <si>
    <t>Palīgdarbi un plaīgmateriāli</t>
  </si>
  <si>
    <t>2. FASĀDES APDARE GALA SIENĀM JUMTA ZONĀ</t>
  </si>
  <si>
    <t>Zemgrīdas kanāla dzelzbetona parseguma plātņu demontāža</t>
  </si>
  <si>
    <t>Esošo apkures cauruļu demontāža</t>
  </si>
  <si>
    <t>Zemgrīdas kanāla atbrīvošana no būvgružiem</t>
  </si>
  <si>
    <t>Smilts ar piegādi</t>
  </si>
  <si>
    <t>Šķembas ar piegādi</t>
  </si>
  <si>
    <t>Polipropilēna skaidas (armējums)</t>
  </si>
  <si>
    <t>Betons C20/25</t>
  </si>
  <si>
    <t>Betona piegāde</t>
  </si>
  <si>
    <t>reiss</t>
  </si>
  <si>
    <t>Betona sūknis</t>
  </si>
  <si>
    <t>m/st</t>
  </si>
  <si>
    <t>Citi palīgmateriāli</t>
  </si>
  <si>
    <t>Bēniņu iztīrīšana</t>
  </si>
  <si>
    <t>Esošās siltumizolācijas kārtas sakārtošana</t>
  </si>
  <si>
    <t>Koka laipas izgatavošana uz koka paliktniem, dēli 40 mm, koka laipas karkass 50*100 mm, H=300 mm, ar soli 600 mm. Laipas platums 800 mm</t>
  </si>
  <si>
    <t>Antiseptizēts kokmateriāls laipas karkasam, 50*100 mm</t>
  </si>
  <si>
    <t>Antiseptizēts kokmateriāls laipas karkasam, 100*200 mm</t>
  </si>
  <si>
    <t>m4</t>
  </si>
  <si>
    <t>Antiseptizēts kokmateriāls laipai, 25*100 mm</t>
  </si>
  <si>
    <t>Montāžas materiāli (hidroizolācijas kārta zem koka gulšņiem, stiprinājumi utt.)</t>
  </si>
  <si>
    <t>Siltumizolācijas uzklāšana uz esošās siltumizolācijas</t>
  </si>
  <si>
    <t>Beramvate, h=300 mm</t>
  </si>
  <si>
    <t>Pretvēja izolācijas ieklāšana</t>
  </si>
  <si>
    <t>Pretvēja izolācijas plēve</t>
  </si>
  <si>
    <t>Esošo koka siju remonts 10% un apstrāde  ar antiseptizēto sastāvu</t>
  </si>
  <si>
    <t>Antiseptizēts kokmateriāls, 50*200 mm</t>
  </si>
  <si>
    <t>Antiseptizēts sastāvs</t>
  </si>
  <si>
    <t>Montāžas materiāli</t>
  </si>
  <si>
    <t>Esošā koka latojuma remonts, 30 %</t>
  </si>
  <si>
    <t>Antiseptizēts kokmateriāls, 50*50 mm</t>
  </si>
  <si>
    <t>Mitrumizturīgs finieris 18 mm virs vates</t>
  </si>
  <si>
    <t>Jumta seguma montāža</t>
  </si>
  <si>
    <t>Jumta segums, bezasbesta loksnes, Eternit</t>
  </si>
  <si>
    <t>Skārda elementi (kore, pieslēgumi pie sienām utt.)</t>
  </si>
  <si>
    <t>Vējkastes apšuvuma izveide ar krāsotiem dēļiem</t>
  </si>
  <si>
    <t>Krāsotie apdares dēļi, 21 mm</t>
  </si>
  <si>
    <t>Jauno jumta teknu montāža ar stiprinājumiem</t>
  </si>
  <si>
    <t>Jauno jumta noteku montāža ar stiprinājumiem</t>
  </si>
  <si>
    <t>Jaunā skārda lāseņa izgatavošana, piegāde un montāža virs teknes</t>
  </si>
  <si>
    <t>Jumta lūkas un stacionāro koka kāpņu (0,6*1,3 m) izgatavošana, piegāde un montāža</t>
  </si>
  <si>
    <t>Bēniņu lūkas ar izvelkamiem kāpnēm piegāde un montāža, EI-30, U&lt;1.6W/m2K</t>
  </si>
  <si>
    <t>2. UZJUMTENIS</t>
  </si>
  <si>
    <t>Uzjumteņa izgatavošana, piegāde un montāža asīs A--B/ 2, 0,8*1,2 m</t>
  </si>
  <si>
    <t>1. LOGI.  AR-2, AR-9</t>
  </si>
  <si>
    <t>Logs L-1, 1600*1800 mm (L*H), ar izgatavošanu, piegādi un montāžu. 3-kārša stikla pakete PVC rāmi, vērmas/gāžams,  krāsa pelēka/balta. U mazāk 0,90 W/m2K</t>
  </si>
  <si>
    <t>Logs L-2, 1000*1800 mm (L*H), ar izgatavošanu, piegādi un montāžu. 3-kārša stikla pakete PVC rāmi, vērmas/gāžams,  krāsa pelēka/balta. U mazāk 0,90 W/m2K</t>
  </si>
  <si>
    <t>Logs L-3, 2600*900 mm (L*H), ar izgatavošanu, piegādi un montāžu. 3-kārša stikla pakete PVC rāmi, vērmas/gāžams,  krāsa pelēka/balta. U mazāk 0,90 W/m2K</t>
  </si>
  <si>
    <t>Logs L-4, 1800*1800 mm (L*H), ar izgatavošanu, piegādi un montāžu. 3-kārša stikla pakete PVC rāmi, vērmas/gāžams,  krāsa pelēka/balta. U mazāk 0,90 W/m2K</t>
  </si>
  <si>
    <t>Antiseptizēto koku siju montāža logu rāmim (100*100 mm, L=1600 mm 46 gab; L=1000 mm 8 gab; L=2500 mm 6 gab; L=1900 mm 2 gab)</t>
  </si>
  <si>
    <t>Metāla caurumotas plāksnes, L280*90*2,5 mm</t>
  </si>
  <si>
    <t>Metāla caurumotas plāksnes, L90*90*2,5 mm</t>
  </si>
  <si>
    <t>Logu iebūves ārsienas  siltumizolācijas zonā tipveida kronšteini</t>
  </si>
  <si>
    <t>Stiprinājumi, dībeļi utt metāla plākšņu stiprināšanai</t>
  </si>
  <si>
    <t xml:space="preserve">Tvaika necaurlaidīga lentas montāža </t>
  </si>
  <si>
    <t>Loga blīvējošās lentas montāža</t>
  </si>
  <si>
    <t>Difūzijas lentas montāža</t>
  </si>
  <si>
    <t>MDF vai PVC palodzes montāža, b=300 mm</t>
  </si>
  <si>
    <t>Ārējas skārda palodzes montāža, b=300 mm</t>
  </si>
  <si>
    <t>Logu ailu apdare no iekšpuses</t>
  </si>
  <si>
    <t>Logu ailu apdare no ārpuses</t>
  </si>
  <si>
    <t>2. DURVIS. AR-2</t>
  </si>
  <si>
    <t>Durvis D-1, 1000*2100 mm (L*H), ar izgatavošanu, piegādi un montāžu. PVC rāmis, 2-kāršu stiklojums. Krāsa — pelēks/pelēks. Slēdzene, el.kartiņa, līmlentes 5 gab.</t>
  </si>
  <si>
    <t>Durvis D-2, 900*2100 mm (L*H), ar izgatavošanu, piegādi un montāžu. PVC rāmis, matēts stiklojums. Krāsa — pelēks/pelēks. Slēdzene, el.kartiņa.</t>
  </si>
  <si>
    <t>Ārdurvis D-3, 1000*2100 mm (L*H), ar izgatavošanu, piegādi un montāžu. PVC rāmis, 3-kāršu stiklojums, siltinātas, slēdzene, durvju aizvērējs. U mazāks 1,1 W/m2K. Krāsa - pelēks/pelēks. 5 līmlentas</t>
  </si>
  <si>
    <t>Ārdurvju iebūves ārsienas  siltumizolācijas zonā tipveida kronšteini</t>
  </si>
  <si>
    <t>Durvju ailu apdare no abām pusem, ieskaitot kleidu montāžu no vienas puses</t>
  </si>
  <si>
    <t>3. VITRĪNAS.  AR-2, AR-9</t>
  </si>
  <si>
    <t>Vitrīna V-1, 2320*2720 mm (L*H), ar izgatavošanu, piegādi un montāžu. PVC rāmis, 3-kāršu stiklojums, siltinātas, slēdzene, durvju aizvērējs. U mazāks 1,6 W/m2K. Krāsa - pelēks/pelēks. 3 līmlentas</t>
  </si>
  <si>
    <t>Vitrīna V-2, 3200*3000 mm (L*H), ar izgatavošanu, piegādi un montāžu. PVC rāmis, 2-kāršu stiklojums. Krāsa — pelēks/pelēks. Slēdzene, el.kartiņa, līmlentes 3 gab.</t>
  </si>
  <si>
    <t>Vitrīna V-3, 1500*3000 mm (L*H), ar izgatavošanu, piegādi un montāžu. PVC rāmis, 2-kāršu stiklojums. Krāsa — pelēks/pelēks. Slēdzene, el.kartiņa, līmlentes 3 gab.</t>
  </si>
  <si>
    <t>Vitrinu ailu apdare no abām pusem, ieskaitot kleidu montāžu no vienas puses</t>
  </si>
  <si>
    <t xml:space="preserve">IEKŠĒJĀ APDARE </t>
  </si>
  <si>
    <t>Grīdas apakškārtas tīrīšana, gruntēšana, špaktelēšana</t>
  </si>
  <si>
    <t>Grīdas izlīdzinošais sastāvs, līdz 5 mm</t>
  </si>
  <si>
    <t>Linoleja seguma ieklāšana</t>
  </si>
  <si>
    <t>Aukla/diegs</t>
  </si>
  <si>
    <t xml:space="preserve">2. GRĪDA G-2.  </t>
  </si>
  <si>
    <t>Grīdas apakškārtas tīrīšana,  gruntēšana, špaktelēšana</t>
  </si>
  <si>
    <t>Grīdas hidroizolācijas izveide</t>
  </si>
  <si>
    <t>Grīdas flīzēšana</t>
  </si>
  <si>
    <t>Flīzes</t>
  </si>
  <si>
    <t>Grīdlīstes piegāde un montāža (dēļu, H=70 mm)</t>
  </si>
  <si>
    <t>Grīdlīstes piegāde un montāža (flīzes, H=70 mm)</t>
  </si>
  <si>
    <t>Griestu tīrīšāna, gruntēšana un   špaktelēšana</t>
  </si>
  <si>
    <t>Nobeiguma špaktele</t>
  </si>
  <si>
    <t>Smilšpapīrs</t>
  </si>
  <si>
    <t>Griestu krāsošana</t>
  </si>
  <si>
    <t>Griestu krāsa</t>
  </si>
  <si>
    <t>Piekārto griestu  (Armstrong tipa) montāža</t>
  </si>
  <si>
    <t>Nesošais karkass ar piekarēm</t>
  </si>
  <si>
    <t>Vēdināšanas kanāla apšuvuma izveide ar reģipša loksnēm uz metāla profiliem</t>
  </si>
  <si>
    <t xml:space="preserve">Metāla nesošais karkass </t>
  </si>
  <si>
    <t>Ģipškartona plāksnes, GKF, 12,5 mm</t>
  </si>
  <si>
    <t>Griestu  gruntēšana un   špaktelēšana</t>
  </si>
  <si>
    <t>Sienu apmešana un pārrivēšana</t>
  </si>
  <si>
    <t>Apmetuma vadulas</t>
  </si>
  <si>
    <t>Sienas   špaktelēšana</t>
  </si>
  <si>
    <t>Sienas  krāsošana</t>
  </si>
  <si>
    <t>Sienu krāsa</t>
  </si>
  <si>
    <t>Krāsas tonēšana gaišajā tonī</t>
  </si>
  <si>
    <t>Logailes apdares no iekšpuses atjaunošana (apmēšana, GKBI reģipša loksnes, špaktelēšana, krāsošana)</t>
  </si>
  <si>
    <t>Reģipša GKBI loksnes</t>
  </si>
  <si>
    <t>Stūra līstes</t>
  </si>
  <si>
    <t>Stiprinājumi (dībeļi )</t>
  </si>
  <si>
    <t>1. ESOŠO KAPŅU REMONTS</t>
  </si>
  <si>
    <t>Esošo margu demontāža</t>
  </si>
  <si>
    <t>Esošo pakāpienu virsmas tīrīšana</t>
  </si>
  <si>
    <t>Kāpņu laidumu virsmas tīrīšana no sāniem</t>
  </si>
  <si>
    <t>Kāpņu laidumu virsmas tīrīšana no apakšas</t>
  </si>
  <si>
    <t>2. KĀPŅU REMONTS</t>
  </si>
  <si>
    <t>Gatava špaktele</t>
  </si>
  <si>
    <t>Krāsa</t>
  </si>
  <si>
    <t>Pretslīdes maliņas izveide</t>
  </si>
  <si>
    <t>3. MARGAS. AR-11</t>
  </si>
  <si>
    <t>Margu izgatavošana, piegāde un montāža</t>
  </si>
  <si>
    <t>Renovēts esošais statnis</t>
  </si>
  <si>
    <t xml:space="preserve"> Lenteris d.45*2,5 mm, krāsots, lakots</t>
  </si>
  <si>
    <t>Savienojums d.12, L=100 mm</t>
  </si>
  <si>
    <t>Dekoratīvais stiprinājums 40*4 mm, L=40 mm</t>
  </si>
  <si>
    <t>Stiprinājums 70*4 mm, L=80 mm</t>
  </si>
  <si>
    <t>Trieciennoturīgais stiklojums</t>
  </si>
  <si>
    <t>Palīgmateriāli un citi stiprinājumi</t>
  </si>
  <si>
    <t>1. ZĀLĀJA ATJAUNOŠANA</t>
  </si>
  <si>
    <t>Zālāja atjaunošana</t>
  </si>
  <si>
    <t>Melnzeme</t>
  </si>
  <si>
    <t>Sēklas</t>
  </si>
  <si>
    <t>2. BRUĢĒTA APMALE. AR-10</t>
  </si>
  <si>
    <t>Zemes rakšanas darbi, H=490 mm, izvešana un utilizācija</t>
  </si>
  <si>
    <t>Smilts pamatnes izbūve, H=100  mm</t>
  </si>
  <si>
    <t>Ekstrudēta putupolistirola ieklāšana, H=100 mm (FINNFOAM vai ekvivalents)</t>
  </si>
  <si>
    <t>Drenējošā smilts kārtas izbūve, H=80 mm</t>
  </si>
  <si>
    <t>Šķembu kārtas izbūve, H=100 mm</t>
  </si>
  <si>
    <t>Smilts izlīdzinošās kārtas izbūve, H=50 mm</t>
  </si>
  <si>
    <t>Bruģakmeņu ieklāšana, H=60 mm</t>
  </si>
  <si>
    <t>Ietvju apmale iebūve, 1000*200*80 mm uz betona kārtas C20/25</t>
  </si>
  <si>
    <t>Pie lietus notekas iebūvēt betona reni ar restīti, 1000*120*130 mm</t>
  </si>
  <si>
    <t>3. IEEJAS MEZGLA UN PANDUSA IZBŪVE. AR-12</t>
  </si>
  <si>
    <t>Pamatu rakšana (mehanizēti)</t>
  </si>
  <si>
    <t>Pamatu rakšana (roku darbs), 5%</t>
  </si>
  <si>
    <t>Nederīgas grunts transportēšana līdz 10 km</t>
  </si>
  <si>
    <t>Grunts pamatnes līdzināšana, blietēšana</t>
  </si>
  <si>
    <t>Būvbedres aizberšana ar pievesto smilti, blietējot pa kārtām , H=0-450 mm</t>
  </si>
  <si>
    <t>Šķembu kārtas pieberšana ar blietēšanu, H=50 mm</t>
  </si>
  <si>
    <t>Šķembas fr.20-40 ar piegādi</t>
  </si>
  <si>
    <t>Veidņu izgatavošana, montāža, demontāža pamatu sienai, H=600 mm</t>
  </si>
  <si>
    <t>Inventāro veidņu noma, piegāde un aizvešana</t>
  </si>
  <si>
    <t>Mitrumizturīgs finieris 21 mm</t>
  </si>
  <si>
    <t>Kokmateriāls</t>
  </si>
  <si>
    <t>Veidņu eļļa</t>
  </si>
  <si>
    <t>Skrūves</t>
  </si>
  <si>
    <t>Atbalsta sienas armēšana, 60 kg/m3</t>
  </si>
  <si>
    <t>t</t>
  </si>
  <si>
    <t>Distanceri ''saulīte''</t>
  </si>
  <si>
    <t>Distanceri ''sēnes''</t>
  </si>
  <si>
    <t>Stiegrojums B500B dažādi diametri</t>
  </si>
  <si>
    <t>Sienamais materiāls</t>
  </si>
  <si>
    <t>Atbalsta sienas  un sagataves kārtas 50 mm betonēšana. H=600 mm, B=300 mm</t>
  </si>
  <si>
    <t>Betons C30/37 XF3</t>
  </si>
  <si>
    <t>Bruģakmeņu ieklāšana ieejas mezglam, pakapieniem un pandusam, H=60 mm</t>
  </si>
  <si>
    <t>Bruģis ar piegādi, H=60 mm</t>
  </si>
  <si>
    <t>Pandusa margu izgatavošana, piegāde un montāža</t>
  </si>
  <si>
    <t>Margu statnis 30*30*3 mm, H=1070 mm</t>
  </si>
  <si>
    <t>Margu pamatne 80*80*4 mm</t>
  </si>
  <si>
    <t>Margu lenteris O d=40*2,0</t>
  </si>
  <si>
    <t>Margu lenteris O d=32*2,0</t>
  </si>
  <si>
    <t>Ieejas mezgla margu izgatavošana, piegāde un montāža</t>
  </si>
  <si>
    <t>Margu reliņš O d=12*2,0</t>
  </si>
  <si>
    <t>2--1</t>
  </si>
  <si>
    <t>1. SANITĀRTEHNISKĀS IEKĀRTAS</t>
  </si>
  <si>
    <t>Keramiskā roku mazgātne ar sifonu,
stiprinājumiem, jaucējkrānu, karstā un aukstā ūdensvadu pievienojumiem</t>
  </si>
  <si>
    <t>Keramiskā roku mazgātne ar sifonu,
stiprinājumiem paredzēta bērniem līdz 7 gadu vecumam, jaucējkrānu, karstā un aukstā ūdensvadu pievienojumiem</t>
  </si>
  <si>
    <t>Keramiskā roku mazgātne ar sifonu
paredzēta cilvēkiem ar īpašām vajadzībām, stiprinājumiem, jaucējkrānu, karstā un aukstā ūdensvadu pievienojumiem</t>
  </si>
  <si>
    <t>Nerūsējošā tērauda trauku mazgātne ar dubulto sifonu trauku mašīnas pievienošanai, stiprinājumiem, jaucējkrānu, karstā un aukstā ūdensvadu pievienojumiem</t>
  </si>
  <si>
    <t>Klozetpods ar vertikālu izvadu, ar skalošanas kasti, sistēmu, stiprinājumiem, aukstā ūdensvada pievienojumu</t>
  </si>
  <si>
    <t>Klozetpods ar vertikālu izvadu, ar skalošanas kasti piemērots bērniem līdz 6 gadu vecumam, sistēmu, stiprinājumiem, aukstā ūdensvada pievienojumu</t>
  </si>
  <si>
    <t>Klozetpods ar vertikālu izvadu, ar skalošanas kasti piemērots cilvēkiem ar īpašām vajadzībam, sistēmu, stiprinājumiem, aukstā ūdensvada pievienojumu</t>
  </si>
  <si>
    <t>Sienas dušas sistēma ar stiprinājumiem,
jaucējpogu , karstā un aukstā ūdensvadu pievienojumiem</t>
  </si>
  <si>
    <t>Dušas grīdas traps, flīžu segumā, ar vertikālu izvadu, OD50</t>
  </si>
  <si>
    <t>Grīdas traps, flīžu segumā, ar vertikālu izvadu, OD50</t>
  </si>
  <si>
    <t>2. ŪDENSAPGĀDE</t>
  </si>
  <si>
    <t>2.1. AUKSTAIS ŪDENSVADS U1</t>
  </si>
  <si>
    <t>Daudzslāņu kompozīta materiāla ūdensapgādes caurule  ar pretkondensāta izolāciju 13mm, veidgabaliem un stiprinājumiem, OD16*2,0</t>
  </si>
  <si>
    <t>Daudzslāņu kompozīta materiāla ūdensapgādes caurule  ar pretkondensāta izolāciju 13mm, veidgabaliem un stiprinājumiem, OD20*2,25</t>
  </si>
  <si>
    <t>Daudzslāņu kompozīta materiāla ūdensapgādes caurule  ar pretkondensāta izolāciju 13mm, veidgabaliem un stiprinājumiem, OD25*2,5</t>
  </si>
  <si>
    <t>Daudzslāņu kompozīta materiāla ūdensapgādes caurule  ar pretkondensāta izolāciju 13mm, veidgabaliem un stiprinājumiem, OD32*3,0</t>
  </si>
  <si>
    <t>Stūra ventilis pie iekārtas, DN15</t>
  </si>
  <si>
    <t>Lodveida ventilis, DN15</t>
  </si>
  <si>
    <t>Lodveida ventilis, DN20</t>
  </si>
  <si>
    <t>Mehāniskais filtrs, DN15</t>
  </si>
  <si>
    <t>Esošā ūdensvada pārūve</t>
  </si>
  <si>
    <t>Caurumu urbšana esošajā dzelzbetona
pamatā</t>
  </si>
  <si>
    <t>vieta</t>
  </si>
  <si>
    <t>Stiprinājumi un palīgmateriali</t>
  </si>
  <si>
    <t>Palīgmateriāli montāžai</t>
  </si>
  <si>
    <t>Sistēmu pārbaude un marķēšana</t>
  </si>
  <si>
    <t>st.</t>
  </si>
  <si>
    <t>Izpilddokumentācija</t>
  </si>
  <si>
    <t>Pieslēgums pie ievada ēkā</t>
  </si>
  <si>
    <t>2.2. KARSTĀ S3 UN CIRKULĀCIJAS S4 ŪDENSVADI</t>
  </si>
  <si>
    <t>Daudzslāņu kompozīta materiāla ūdensapgādes caurule  ar siltumizolāciju 20mm, veidgabaliem un stiprinājumiem, OD16*2,0</t>
  </si>
  <si>
    <t>Daudzslāņu kompozīta materiāla ūdensapgādes caurule  ar siltumizolāciju 20mm, veidgabaliem un stiprinājumiem, OD20*2,25</t>
  </si>
  <si>
    <t>Daudzslāņu kompozīta materiāla ūdensapgādes caurule  ar siltumizolāciju 20mm, veidgabaliem un stiprinājumiem, OD25*2,5</t>
  </si>
  <si>
    <t>Karstā ūdens sajaukšanas vārsts, DN20</t>
  </si>
  <si>
    <t>Termoregulējošais vārsts ar termometru, DN15</t>
  </si>
  <si>
    <t>3. KANALIZĀCIJA</t>
  </si>
  <si>
    <t>3.1. SADZĪVES KANALIZĀCIJA K1</t>
  </si>
  <si>
    <t>PP kanalizācijas caurule ar stiprinājumiem, izturības klasi SN8, OD110</t>
  </si>
  <si>
    <t>PP kanalizācijas caurule ar stiprinājumiem, izturības klasi SN8, OD75</t>
  </si>
  <si>
    <t>PP kanalizācijas caurule ar stiprinājumiem, izturības klasi SN8, OD50</t>
  </si>
  <si>
    <t>PP kanalizācijas līkums 45°, OD110</t>
  </si>
  <si>
    <t>PP kanalizācijas līkums 45°, OD75</t>
  </si>
  <si>
    <t>PP kanalizācijas līkums 45°, OD50</t>
  </si>
  <si>
    <t>PP kanalizācijas trejgabals 45°, 110/110/110</t>
  </si>
  <si>
    <t>PP kanalizācijas trejgabals 45°, 110/110/75</t>
  </si>
  <si>
    <t>PP kanalizācijas trejgabals 45°, 110/110/50</t>
  </si>
  <si>
    <t>PP kanalizācijas trejgabals 45°, 75/75/50</t>
  </si>
  <si>
    <t>PP kanalizācijas trejgabals 45°, 50/50/50</t>
  </si>
  <si>
    <t>Tīrīšanas lūka grīdā, OD110</t>
  </si>
  <si>
    <t>Revīzijas, OD110</t>
  </si>
  <si>
    <t>Revīzijas lūka sienā</t>
  </si>
  <si>
    <t>Siltināts vēdināšanas izvads uz jumta, OD110</t>
  </si>
  <si>
    <t>Pieslēgums pie sadzīves kanalizācijas
skatakas</t>
  </si>
  <si>
    <t>3.2. KONDENSĀTA KANALIZĀCIJA K4</t>
  </si>
  <si>
    <t>PE caurule ar veidgabaliem kondensāta novadīšanai ar pretkondensāta izolāciju 9mm, OD32*3,0</t>
  </si>
  <si>
    <t>Lodveida sifons kondensāta kanalizācijai, HL136N</t>
  </si>
  <si>
    <t>Kondensāta sūknis</t>
  </si>
  <si>
    <t>Cauruļvadu veidgabali</t>
  </si>
  <si>
    <t>Pieslēgumi pie sadzīves kanalizācijas</t>
  </si>
  <si>
    <t>1. APKURE</t>
  </si>
  <si>
    <t>KAN trejgabals ar izlaides korķi, DN15</t>
  </si>
  <si>
    <t>CA presējamā karbona cinkotā caurule 18*1,2,  DN15</t>
  </si>
  <si>
    <t>CA presējamā karbona cinkotā caurule 22*1,5, DN20</t>
  </si>
  <si>
    <t>KAN presējamā karbona veidgabali, stiprinājumi, savienošanas un tml. palīgmateriāli</t>
  </si>
  <si>
    <t>Gofrēta caurule, DN40</t>
  </si>
  <si>
    <t>Gofrēta caurule, DN32</t>
  </si>
  <si>
    <t>Caurules izeja cauri pārsegumam, DN15</t>
  </si>
  <si>
    <t>Kapitālās sienas šķērsošana ar 2 caurulēm, 2DN20</t>
  </si>
  <si>
    <t xml:space="preserve">Sistēmas hidrauliskā pārbaude , 3 bar </t>
  </si>
  <si>
    <t>sistēma</t>
  </si>
  <si>
    <t>1. SILTUMMEZGLS</t>
  </si>
  <si>
    <t>Kapes ventilis 3/4” i-i, 1990281</t>
  </si>
  <si>
    <t>Gružu ķērājs DN20</t>
  </si>
  <si>
    <t>Gružu ķērājs DN32, 201512</t>
  </si>
  <si>
    <t>Pretvārsts 1”, 201708</t>
  </si>
  <si>
    <t>Naval lodveida ventilis ar metināmiem savienojumiem DN32 (SB), 119096</t>
  </si>
  <si>
    <t>Izlaides krāns DN15 ar šļutenes pievienojumu, KFE15</t>
  </si>
  <si>
    <t>Melnā tērauda cauruļu veidgabali un metināšanas materiāli</t>
  </si>
  <si>
    <t>Plastmasas cauruļu veidgabali</t>
  </si>
  <si>
    <t>Izolācijas palīgmateriāli</t>
  </si>
  <si>
    <t>Siltummezglu iekārtu un cauruļu stiprināšanas konstrukcijas</t>
  </si>
  <si>
    <t>Elektromontāžas materiāli</t>
  </si>
  <si>
    <t>Cauruļvadu hidrauliskā pārbaude iekārtu un cauruļvadu marķēšana,būvdarbu izpilddokumentācijas noformēšana</t>
  </si>
  <si>
    <t>obj</t>
  </si>
  <si>
    <t>2. SM DEMONTĀŽAS DARBI</t>
  </si>
  <si>
    <t>SM primārā kontūra cauruļvadu ar izolāciju un iekārtu demontāža līdz esošam siltumuzskaites mezglam ST ievadā</t>
  </si>
  <si>
    <t>Sekundārā kontūra cauruļvadu ar izolāciju un iekārtu demontēšana siltummezglu robežās līdz maģistrālajiem apkures un karstā ūdens cauruļvadiem</t>
  </si>
  <si>
    <t>1.  PN1 SILTUMAPGĀDE</t>
  </si>
  <si>
    <t>Lodveida ventilis DN15</t>
  </si>
  <si>
    <t>Lokanais nerūsējoša tērauda pievads L=0,5m DN15</t>
  </si>
  <si>
    <t>Automātiskis atgaisotājs 3/8"</t>
  </si>
  <si>
    <t xml:space="preserve">Hidrauliskā pārbaude </t>
  </si>
  <si>
    <t>2.  PN1 KONDENSĀTA NOVADĪŠANA</t>
  </si>
  <si>
    <t>Lokana PE caurule  DN8</t>
  </si>
  <si>
    <t>Iekšējās kanalizācijas caurules un veidgabali (skat.ŪK) SDN32</t>
  </si>
  <si>
    <t>3.  PN1 PAGASTA PĀRVALDES TELPAS UN BĒRNUDĀRZS</t>
  </si>
  <si>
    <t>Izeja cauri ārsienai. Ø315</t>
  </si>
  <si>
    <t>Atvērumi kapitālās sienās ar izmēru līdz 0.4m</t>
  </si>
  <si>
    <t>Palīgmateriāli gaisa vadiem, izolācijas stiprinājumi, hermetizācijas utml. Materiāli</t>
  </si>
  <si>
    <t>Sistēmas palaišana un ieregulēšana</t>
  </si>
  <si>
    <t>Izpilddokumentācijas sastādīšana</t>
  </si>
  <si>
    <t>obj.</t>
  </si>
  <si>
    <t>1. UGUSNGRĒKA ATKLĀŠANAS UN TRAUKSMES SIGNALIZĀCIJA</t>
  </si>
  <si>
    <t>Detektoru marķējums</t>
  </si>
  <si>
    <t>Relejs 24V</t>
  </si>
  <si>
    <t>1. VIDEO NOVĒROŠANAS SISTĒMA</t>
  </si>
  <si>
    <t>Montāžas kārba</t>
  </si>
  <si>
    <t>Datu kabelis UTP 4*-2*0,5 cat 6 LSZH</t>
  </si>
  <si>
    <t>Elektrobarošanas kabelis 3*1,5</t>
  </si>
  <si>
    <t>1. APSARDZES SIGNALIZĀCIJAS SISTĒMA</t>
  </si>
  <si>
    <t>Magnetiskais kontakts durvīm</t>
  </si>
  <si>
    <t>Kabelis 3*1,5</t>
  </si>
  <si>
    <t>1. INVALĪDU TUALETES TRAUKSMES IZZIŅOŠANAS SISTĒMA</t>
  </si>
  <si>
    <t>1. PIEKĻUVES KONTROLES SISTĒMA</t>
  </si>
  <si>
    <t>1. LVRTC SKAPJA PĀRVIETOŠANA</t>
  </si>
  <si>
    <t xml:space="preserve">1.1.DARBI </t>
  </si>
  <si>
    <t>Esošā 19“ RACK skapja pārvietošana</t>
  </si>
  <si>
    <t>Zemgrīdas caurules montāža</t>
  </si>
  <si>
    <t>Zemgrīdas caurules pievienošana pie esošās  LVRTC EST caurules</t>
  </si>
  <si>
    <t>Kabeļu kanāla montāža uz sienas</t>
  </si>
  <si>
    <t>1.2. MATERIĀLI</t>
  </si>
  <si>
    <t>Poliplasta caurule d.40,zemgrīdas montāžai</t>
  </si>
  <si>
    <t>1. SADALNES</t>
  </si>
  <si>
    <t>Palīgmateriāli, neuzskaitītie materiāli</t>
  </si>
  <si>
    <t>2. GAISMEKĻI</t>
  </si>
  <si>
    <t>3. SLĒDŽI, ROZETES</t>
  </si>
  <si>
    <t>Rozete 1F IP20 16A, ar zemējumu, Z/A, komplektā ar kārbu</t>
  </si>
  <si>
    <t>Slēdzis 1p, IP20, Z/A, komplekta ar rāmi un kārbu</t>
  </si>
  <si>
    <t>Slēdzis 2p, IP20, Z/A, komplekta ar rāmi un kārbu</t>
  </si>
  <si>
    <t>Blīves IP44 slēdžiem</t>
  </si>
  <si>
    <t>Rozetes rāmis 1 vietīgs</t>
  </si>
  <si>
    <t>Rozetes rāmis 2 vietīgs</t>
  </si>
  <si>
    <t>Rozetes rāmis 3 vietīgs</t>
  </si>
  <si>
    <t>Rozetes rāmis 5 vietīgs</t>
  </si>
  <si>
    <t>Savienojumu karba</t>
  </si>
  <si>
    <t>4. KABEĻI</t>
  </si>
  <si>
    <t>Kabelis NYM-J 3X1,5 mm2</t>
  </si>
  <si>
    <t>Kabelis NYM-J 3X2,5 mm2</t>
  </si>
  <si>
    <t>Kabelis NYM-J 5X1,5 mm2</t>
  </si>
  <si>
    <t>Kabelis NYM-J 5X4 mm2</t>
  </si>
  <si>
    <t>Kabelis NHXH-J 2x1.5 mm2</t>
  </si>
  <si>
    <t>Kabelis N07V-K-1x2.5 mm2</t>
  </si>
  <si>
    <t>Kabelis N07V-K-1x4 mm2</t>
  </si>
  <si>
    <t>Kabelis N07V-K-1x16 mm2</t>
  </si>
  <si>
    <t>Gofrēta caurule 16 mm</t>
  </si>
  <si>
    <t>Gofrēta caurule 25 mm</t>
  </si>
  <si>
    <t>Kabeļu un caurules savienošanas materiāli</t>
  </si>
  <si>
    <t>Kabeļu un caurules stiprinājumi</t>
  </si>
  <si>
    <t>Ūgunsiztūrīgu kabeļu ūgunsizturīgie stiprinājumi</t>
  </si>
  <si>
    <t>Obj</t>
  </si>
  <si>
    <t>Ugunsdrošā putas</t>
  </si>
  <si>
    <t>Ugunsdrošā blīvējoša mastika</t>
  </si>
  <si>
    <t>Ugunsdrošā krāsa</t>
  </si>
  <si>
    <t>5. ESOŠĀ ZIBENSAIZSARDZĪBA ĒKAI</t>
  </si>
  <si>
    <t>Zibensuztvērēja esošās sistēmas demontāža un montāža</t>
  </si>
  <si>
    <t>Zibensnovedēja stieples demontāža un montāža pa sienu, jumtu</t>
  </si>
  <si>
    <t xml:space="preserve">Stiprinājums pie sienas </t>
  </si>
  <si>
    <t xml:space="preserve">Stieples stiprinājums jumtam </t>
  </si>
  <si>
    <t>Klemme  stieples un stieples savienošanai</t>
  </si>
  <si>
    <t>Klemme  stieples un plakandzelža savienošanai</t>
  </si>
  <si>
    <t>6. DARBU DAUDZUMU SARAKSTS</t>
  </si>
  <si>
    <t>Objekta apsekošana</t>
  </si>
  <si>
    <t>Materiālu piegāde</t>
  </si>
  <si>
    <t>Elektroinstalācijas pārbaude ar termovizoru</t>
  </si>
  <si>
    <t>Esošo elektroinstalāciju demontāža</t>
  </si>
  <si>
    <t>Būvgrūžu utilizācija</t>
  </si>
  <si>
    <t>Sienās un griestu kālšana</t>
  </si>
  <si>
    <t>Kabeļu marķējums</t>
  </si>
  <si>
    <t>Tehniskās dokumentācijas izgatavošana</t>
  </si>
  <si>
    <t>1. SADZĪVES KANALIZĀCIJA K1</t>
  </si>
  <si>
    <t>PP sadzīves kanalizācijas caurule ar uzmavu, gumijas blīvgredzenu un izolāciju b=13 mm, SN8, DN/OD110, H÷2.0m</t>
  </si>
  <si>
    <t>PP sadzīves kanalizācijas caurule ar uzmavu un gumijas blīvgredzenu, SN8, DN/OD160, H÷2.0m</t>
  </si>
  <si>
    <t>Plastmasas aka OD400 ar dziļumu līdz 1.0m pievienojumiem OD110/160, komplektā ar pamatni, augstuma regulēšanas cauruli, manžeti ar fiksatoru, rāmi un plastmasas vāku (jāatbilst LVS EN 124), neventilējams. K1A-1</t>
  </si>
  <si>
    <t>Remontuzmava OD160 kanalizācijas pievienojumam esošajai skatakai, KA-2</t>
  </si>
  <si>
    <t>Esošās grunts izrakšana un aizvešanas uz atbērtni</t>
  </si>
  <si>
    <t>Izlīdzinošā kārta vidēji rupja smilts, frakcijas 8-16mm</t>
  </si>
  <si>
    <t>Rupja smilts, (plastmasas caurulēm blīvēšana ar rokām)</t>
  </si>
  <si>
    <t>Aizpildīšana ar izrakto grunti, blīvējuma pakāpe Dr≥95%, vai pievesto materiālu</t>
  </si>
  <si>
    <t>Izbūvētās sistēmas CCTV videoinspekcija</t>
  </si>
  <si>
    <t>Esošo komunikāciju šķērsošana</t>
  </si>
  <si>
    <t>Esošā  nedarbojošā sakaru kabeļa demontāža</t>
  </si>
  <si>
    <t>Būvprojekta vadīšana, tajā skaitā:
izpilddokumentācijas sagatavošana un ģeodēzisko izpildmērījumu veikšana</t>
  </si>
  <si>
    <t>Gruntsūdens līmeņa pazemināšana vajadzības gadījumā</t>
  </si>
  <si>
    <t>Esošā betona seguma atjaunošana</t>
  </si>
  <si>
    <t>Esošā zālāja seguma atjaunošana</t>
  </si>
  <si>
    <t>2024. gada __._______________</t>
  </si>
  <si>
    <t>Parketa vai lamināta segumu demontāža</t>
  </si>
  <si>
    <t>Grīdas dēļu demontāža, b=37 mm</t>
  </si>
  <si>
    <t>Grīdas gulšņu demontāža, b=40 mm</t>
  </si>
  <si>
    <t>Koka paliktņu demontāža, b=25 mm</t>
  </si>
  <si>
    <t>Betona stabiņu demontāža, 200*200*75 mm, solis 500 mm</t>
  </si>
  <si>
    <t>Grīdas apdares virs betonētas grīdas demontāža</t>
  </si>
  <si>
    <t xml:space="preserve">Reģipša starpsienas S  izveide, 125mm </t>
  </si>
  <si>
    <t>Betonētas grīdas demontāža, H=~100 mm</t>
  </si>
  <si>
    <t>Šķembu kārtas demontāža, H=~50 mm</t>
  </si>
  <si>
    <t>Grunts kārtas demontāža, H=~200 mm</t>
  </si>
  <si>
    <t>3. DEMONTĀŽAS DARBI PIRMĀ STĀVĀ GRĪDAI. G-2</t>
  </si>
  <si>
    <t>2. DEMONTĀŽAS DARBI PIRMĀ STĀVĀ GRĪDAI. G-1</t>
  </si>
  <si>
    <t>Kāpņu laiduma virsmas no sāniem un no apakšas gruntēšana, špaktelēšana, slīpēšana</t>
  </si>
  <si>
    <t>Kāpņu laukuma virsmas atjaunošana</t>
  </si>
  <si>
    <t xml:space="preserve">1. GRĪDA G-1.  </t>
  </si>
  <si>
    <t>Smilts pamatnes izliīdzināšana, nepieciešamības gadījumā pieberšana, H=~100 mm</t>
  </si>
  <si>
    <t>Šķembu kārtas pieberšana, H=120 mm</t>
  </si>
  <si>
    <t>Grīdas plātnes betonēšana, H=80 mm</t>
  </si>
  <si>
    <t>Siltumizolācijas kārtas izveide</t>
  </si>
  <si>
    <t>Ekstrudēts putupolistirols, H=100 mm</t>
  </si>
  <si>
    <t>Grīdas plātnes betonēšana, H=50 mm</t>
  </si>
  <si>
    <t>3. GRĪDA KĀPŅU ZONĀ un G-10</t>
  </si>
  <si>
    <t xml:space="preserve">4. GRĪDA G-11.  </t>
  </si>
  <si>
    <t xml:space="preserve">5. GRĪDA G-12.  </t>
  </si>
  <si>
    <t>6. GRĪDAS APMALE</t>
  </si>
  <si>
    <t>7. GRIESTU ŠPAKTELĒŠANA UN KRĀSOŠANA</t>
  </si>
  <si>
    <t>8. PIEKĀRTO GRIESTU MONTĀŽA (ARMSTRONG TIPA)</t>
  </si>
  <si>
    <t>9. VĒDINĀŠANAS KANĀLA APŠUVUMA IZVEIDE, ŠPAKTELĒŠANA UN KRĀSOŠANA</t>
  </si>
  <si>
    <t>10.  SIENU APMEŠANA UN PĀRRĪVĒŠANA</t>
  </si>
  <si>
    <t>11.  SIENU ŠPAKTELĒŠANA</t>
  </si>
  <si>
    <t xml:space="preserve">12. SIENU KRĀSOŠANA </t>
  </si>
  <si>
    <t>13. SIENU FLĪZĒŠANA</t>
  </si>
  <si>
    <t>Sienas hidroizolācijas izveide</t>
  </si>
  <si>
    <t>Sienas flīzēšana</t>
  </si>
  <si>
    <t>14. LOGAILU APDARES ATJAUNOŠANA NO IEKŠPUSES</t>
  </si>
  <si>
    <t>5. IEKŠSIENU IZBŪVE DEMONTĒTO GRĪDU G-1, G-2 ZONĀ</t>
  </si>
  <si>
    <t>1. GRĪDAS G-1 UN G-2 BETONĒŠANA</t>
  </si>
  <si>
    <t>1. JUMTA REMONTS.                            AR-3, AR-5, AR-6</t>
  </si>
  <si>
    <t>Skārda profila izgatavošana  un montāža virsmūra, asīs 1 un asīs 2</t>
  </si>
  <si>
    <t>VALGUNDES PAGASTA PĀRVALDES ĒKAS DARBI, KAS NAV SAISTĪTI AR ENERGOEFEKTIVITĀTI</t>
  </si>
  <si>
    <t>VALGUNDES PAGASTA PĀRVALDES ĒKAS ENERGOEFEKTIVITĀTES PAAGUSTINĀŠANA (VISAS IZMAKSAS KOPĀ)</t>
  </si>
  <si>
    <t>1+2+3</t>
  </si>
  <si>
    <t>BŪVDARBI ĒKAS FUNKCIONĀLI SAISTĪTĀ TERITORIJĀ</t>
  </si>
  <si>
    <t>23-019/3   (KPJ/2023/31-5)</t>
  </si>
  <si>
    <t>BS 1</t>
  </si>
  <si>
    <t>DEM 1</t>
  </si>
  <si>
    <t>COK 1</t>
  </si>
  <si>
    <t>FAS 1</t>
  </si>
  <si>
    <t>GRI 1</t>
  </si>
  <si>
    <t>1--6</t>
  </si>
  <si>
    <t>JUM 1</t>
  </si>
  <si>
    <t>IZMAKSAS ĒKAS ENERGOEFEKTIVITĀTES UZLABOŠANAI</t>
  </si>
  <si>
    <t>1--7</t>
  </si>
  <si>
    <t>L D V 1</t>
  </si>
  <si>
    <t>APD 1</t>
  </si>
  <si>
    <t>1--8</t>
  </si>
  <si>
    <t>APK 1</t>
  </si>
  <si>
    <t>2--2</t>
  </si>
  <si>
    <t>2--3</t>
  </si>
  <si>
    <t>2--4</t>
  </si>
  <si>
    <t>KOPSAVILKUMA APRĒĶINS Nr.2</t>
  </si>
  <si>
    <t>3--1</t>
  </si>
  <si>
    <t>3--2</t>
  </si>
  <si>
    <t>SIE 2</t>
  </si>
  <si>
    <t>KAPN 2</t>
  </si>
  <si>
    <t>4--1</t>
  </si>
  <si>
    <t>4--2</t>
  </si>
  <si>
    <t>4--3</t>
  </si>
  <si>
    <t>4--4</t>
  </si>
  <si>
    <t>4--5</t>
  </si>
  <si>
    <t>4--6</t>
  </si>
  <si>
    <t>4--7</t>
  </si>
  <si>
    <t>5--1</t>
  </si>
  <si>
    <t>UK 2</t>
  </si>
  <si>
    <t>UATS 2</t>
  </si>
  <si>
    <t>VNS 2</t>
  </si>
  <si>
    <t>ASS 2</t>
  </si>
  <si>
    <t>ITTIS 2</t>
  </si>
  <si>
    <t xml:space="preserve"> PKS 2</t>
  </si>
  <si>
    <t>LVRTC 2</t>
  </si>
  <si>
    <t xml:space="preserve">  </t>
  </si>
  <si>
    <t>UKT 2</t>
  </si>
  <si>
    <t>6--1</t>
  </si>
  <si>
    <t>KOPSAVILKUMA APRĒĶINS Nr.3</t>
  </si>
  <si>
    <t>5–1</t>
  </si>
  <si>
    <t>LAB 3</t>
  </si>
  <si>
    <t>Nodilumizturīgs linolejs (linolejs Forbo Marmoleum Solid vai analogs, R9, 43.klase, biezums 2,5 mm, iespiedums 0,08 mm) vai ekvivalents</t>
  </si>
  <si>
    <t>Līme UZIN vai ekvivalents</t>
  </si>
  <si>
    <t>Griestu plāksnes Sandila smart k3 600x600x14mm 12/p vai ekvivalents</t>
  </si>
  <si>
    <t>Flīzes, PEI 5, R10 vai ekvivalents</t>
  </si>
  <si>
    <t>Flīzes PEI 5, R10 (200*200 mm, 500*250 mm) vai ekvivalents</t>
  </si>
  <si>
    <t>Nodilumizturīga dekoratīvo pārslu seguma Peran floor flakes izveide vai ekvivalents</t>
  </si>
  <si>
    <t>Lokālais vadības panelis ar CO2 devēju LRCS21 SIA „Mesh Energ.“, 19.00000 vai ekvivalents</t>
  </si>
  <si>
    <t>“Tubolit” sintētiskā kaučuka izolācijas čaula d=6 mm, TL-22/6-DG vai ekvivalents</t>
  </si>
  <si>
    <t>“Tubolit” sintētiskā kaučuka izolācijas čaula d=6 mm, TL-18/6-DG vai ekvivalents</t>
  </si>
  <si>
    <t>Lodveida ventilis “I-I” 3/4” (Rastelli), DN20 vai ekvivalents</t>
  </si>
  <si>
    <t>Balansēšanas ventilis “Hydro Control R” (Oventrop), DN20 vai ekvivalents</t>
  </si>
  <si>
    <t>Noslēgvārsts DN15,taisns (Danfoss), RLV-15 vai ekvivalents</t>
  </si>
  <si>
    <t>Elektriskā bezvadu radiatora vārsta regulators (M130 baterija)/SIA “Mesh Energ.” vai ekvivalents</t>
  </si>
  <si>
    <t>Radiatora termostatiskais vārsts DN15,taisns (Danfoss), RTD-N15 vai ekvivalents</t>
  </si>
  <si>
    <t>Tērauda plākšņu radiators “Purmo Compact” ar sānu pieslēgumu un sienas stiprinājumu kronšteiniem (Purmo), 21/500/600. vai ekvivalents</t>
  </si>
  <si>
    <t>Tērauda plākšņu radiators “Purmo Compact” ar sānu pieslēgumu un sienas stiprinājumu kronšteiniem (Purmo), 21/500/500. vai ekvivalents</t>
  </si>
  <si>
    <t>Tērauda plākšņu radiators “Purmo Compact” ar sānu pieslēgumu un sienas stiprinājumu kronšteiniem (Purmo), 21/500/400. vai ekvivalents</t>
  </si>
  <si>
    <t>Tērauda plākšņu radiators “Purmo Compact” ar sānu pieslēgumu un sienas stiprinājumu kronšteiniem (Purmo), 22/900/600. vai ekvivalents</t>
  </si>
  <si>
    <t>Tērauda plākšņu radiators “Purmo Compact” ar sānu pieslēgumu un sienas stiprinājumu kronšteiniem (Purmo), 22/900/400. vai ekvivalents</t>
  </si>
  <si>
    <t>Tērauda plākšņu radiators “Purmo Compact” ar sānu pieslēgumu un sienas stiprinājumu kronšteiniem (Purmo), 22/500/600. vai ekvivalents</t>
  </si>
  <si>
    <t>Tērauda plākšņu radiators “Purmo Compact” ar sānu pieslēgumu un sienas stiprinājumu kronšteiniem (Purmo), 22/500/400. vai ekvivalents</t>
  </si>
  <si>
    <t>Enerģijas skaitītājs DIEHL, SHARKY 775, turpgaitas DN20, 1 m3/h 1 f 230 V (Akvedukts) vai ekvivalents</t>
  </si>
  <si>
    <t>Paroc Hvac Section Alu Coat akmens vates čaulas d=30 mm, 60*30 vai ekvivalents</t>
  </si>
  <si>
    <t>Paroc Hvac Section Alu Coat akmens vates čaulas d=20 mm, 42*20 vai ekvivalents</t>
  </si>
  <si>
    <t>Paroc Hvac Section Alu Coat akmens vates čaulas d=20 mm, 28*20 vai ekvivalents</t>
  </si>
  <si>
    <t>Paroc Hvac Section Alu Coat akmens vates čaulas d=20 mm, 22*20 vai ekvivalents</t>
  </si>
  <si>
    <t>Paroc Hvac Section Alu Coat akmens vates čaulas d=20 mm, 35*20 vai ekvivalents</t>
  </si>
  <si>
    <t>Pretkondensāta izolācija Tubolit DG d=6 mm, DG28-6 vai ekvivalents</t>
  </si>
  <si>
    <t>Pretkondensāta izolācija Tubolit DG d=6 mm, DG20-6 vai ekvivalents</t>
  </si>
  <si>
    <t>Uponor PEF ūdens caurule, 25*2,5 vai ekvivalents</t>
  </si>
  <si>
    <t>Uponor PEF ūdens caurule, 20*2,25 vai ekvivalents</t>
  </si>
  <si>
    <t>Lodveida ventilis 1” i-i (Akvedukts), 200010 vai ekvivalents</t>
  </si>
  <si>
    <t>Automātiskais atgaisotājs 1/2” (Akvedukts), 991100 vai ekvivalents</t>
  </si>
  <si>
    <t>Melnā tērauda caurule DN15 21,3*2,6 mm (Nīdija.lv) (SM robežās), 2010044 vai ekvivalents</t>
  </si>
  <si>
    <t>Melnā tērauda caurule DN20 (26,8*2,6) mm (Nīdija.lv), 201029 vai ekvivalents</t>
  </si>
  <si>
    <t>Melnā tērauda caurule DN25 (33,7*2,9) mm (Nīdija.lv), 2010080 vai ekvivalents</t>
  </si>
  <si>
    <t>Melnā tērauda caurule DN32 (42,3*3,2) mm (Nīdija.lv), 2010017 vai ekvivalents</t>
  </si>
  <si>
    <t>Lodveida ventilis 3/4” i-i (Akvedukts), 200008 vai ekvivalents</t>
  </si>
  <si>
    <t>Lodveida ventilis 1/2” i-i (Akvedukts), 200006 vai ekvivalents</t>
  </si>
  <si>
    <t>Drošības vārsts 1/2” 10 bar (Akvedukts), 990012 vai ekvivalents</t>
  </si>
  <si>
    <t>Uzpildes vārsts ALD-1/2”(Akvedukts), 1990630 vai ekvivalents</t>
  </si>
  <si>
    <t>Virsmas termometrs 0-120°C (Cita santehnika), 223311 vai ekvivalents</t>
  </si>
  <si>
    <t>Manometra krāns DN15 RM15(Watts), 271027 vai ekvivalents</t>
  </si>
  <si>
    <t>Manometrs D100-R 1/2” 0-6 bar (Akvedukts), 991017 vai ekvivalents</t>
  </si>
  <si>
    <t>Pretvārsts ½” (Akvedukts), 201706 vai ekvivalents</t>
  </si>
  <si>
    <t>Gružu ķērājs DN25 (Akvedukts), 201510 vai ekvivalents</t>
  </si>
  <si>
    <t>Gružu ķērājs DN15 (Akvedukts), 201406 vai ekvivalents</t>
  </si>
  <si>
    <r>
      <t>Karstā ūdens  skaitītājs 1,5 m</t>
    </r>
    <r>
      <rPr>
        <vertAlign val="superscript"/>
        <sz val="10"/>
        <rFont val="Times New Roman"/>
        <family val="1"/>
        <charset val="1"/>
      </rPr>
      <t>3</t>
    </r>
    <r>
      <rPr>
        <sz val="10"/>
        <rFont val="Times New Roman"/>
        <family val="1"/>
        <charset val="1"/>
      </rPr>
      <t>/h (Zenner), ETKD 1/2” vai ekvivalents</t>
    </r>
  </si>
  <si>
    <r>
      <t>K.ū.cirkulācijas sūknis 0,47 m</t>
    </r>
    <r>
      <rPr>
        <vertAlign val="superscript"/>
        <sz val="10"/>
        <rFont val="Times New Roman"/>
        <family val="1"/>
        <charset val="1"/>
      </rPr>
      <t>3</t>
    </r>
    <r>
      <rPr>
        <sz val="10"/>
        <rFont val="Times New Roman"/>
        <family val="1"/>
        <charset val="1"/>
      </rPr>
      <t>/h;3m H</t>
    </r>
    <r>
      <rPr>
        <vertAlign val="subscript"/>
        <sz val="10"/>
        <rFont val="Times New Roman"/>
        <family val="1"/>
        <charset val="1"/>
      </rPr>
      <t>2</t>
    </r>
    <r>
      <rPr>
        <sz val="10"/>
        <rFont val="Times New Roman"/>
        <family val="1"/>
        <charset val="1"/>
      </rPr>
      <t>O 1 fāze 230 V 0,05 kW (Grundfos), UPM3 DH-W15-30-130(P1) vai ekvivalents</t>
    </r>
  </si>
  <si>
    <t>Drošības vārsts 6 bar DN15(Akvedukts), 990028 vai ekvivalents</t>
  </si>
  <si>
    <t>Elektriskais tents 230 V K6/4” ar termostatu 1,5 kW (santehnika.lv) vai ekvivalents</t>
  </si>
  <si>
    <r>
      <t>K.Ū.tvertne 100 l (Sw250), grīdas ar sildcaurulēm (0,8 m</t>
    </r>
    <r>
      <rPr>
        <vertAlign val="superscript"/>
        <sz val="10"/>
        <rFont val="Times New Roman"/>
        <family val="1"/>
        <charset val="1"/>
      </rPr>
      <t>2</t>
    </r>
    <r>
      <rPr>
        <sz val="10"/>
        <rFont val="Times New Roman"/>
        <family val="1"/>
        <charset val="1"/>
      </rPr>
      <t>) KOSPEL (santehnika.lv), SW100 vai ekvivalents</t>
    </r>
  </si>
  <si>
    <t>Kontrolieris, komplektā ar karti, āra gaisa, ūdens temperatūras sensoriem( Danfos), ECL210+266 vai ekvivalents</t>
  </si>
  <si>
    <r>
      <t>Reg.vārsts apkurei DN/Kv.s-15/1,6;0,83 m</t>
    </r>
    <r>
      <rPr>
        <vertAlign val="superscript"/>
        <sz val="10"/>
        <rFont val="Times New Roman"/>
        <family val="1"/>
        <charset val="1"/>
      </rPr>
      <t>3</t>
    </r>
    <r>
      <rPr>
        <sz val="10"/>
        <rFont val="Times New Roman"/>
        <family val="1"/>
        <charset val="1"/>
      </rPr>
      <t>/h +motors 1 f-230 V(Siemens), VVG549.15-1,6(CV2,1)+SAS31.00 vai ekvivalents</t>
    </r>
  </si>
  <si>
    <t>Izplešanās trauks apkurei ERCE-24; 6 bar; 24 litri( Akvedukts), 771008 vai ekvivalents</t>
  </si>
  <si>
    <t>Cirkulācijas sūknis 1,33 m3/h 5,4 m H2O (Grundfos), UPM3 AUTO 15-70-130(P2) vai ekvivalents</t>
  </si>
  <si>
    <t>Apkures siltummainis (bez vara pievienojuma) 30 kW, ar izolāciju (Alfa Laval), CB62AQ-22AH-F vai ekvivalents</t>
  </si>
  <si>
    <t>Pretuguns vārsts EI-60, "KOMFOVENT". 61 H 200 vai ekvivalents</t>
  </si>
  <si>
    <t>Pretuguns vārsts EI-60, "KOMFOVENT". 60 H 160vai ekvivalents</t>
  </si>
  <si>
    <t>Ar roku regulējama drosele, "KOMFOVENT". AGRJ-R-160 vai ekvivalents</t>
  </si>
  <si>
    <t>Ar roku regulējama drosele, "KOMFOVENT". AGRJ-R-125 vai ekvivalents</t>
  </si>
  <si>
    <t>Ar roku regulējama drosele, "KOMFOVENT". AGRJ-R-100 vai ekvivalents</t>
  </si>
  <si>
    <t>Nosūces difuzors,"KOMFOVENT". DVS-100 vai ekvivalents</t>
  </si>
  <si>
    <t>Nosūces difuzors + montāžas kārba,"KOMFOVENT". DVS-160+DPSS-125-1 60 vai ekvivalents</t>
  </si>
  <si>
    <t>Pieplūdes difuzors + montāžas kārba,"KOMFOVENT". DVS-P160+DPSS-125-160 vai ekvivalents</t>
  </si>
  <si>
    <t>Pieplūdes difuzors + montāžas kārba,"KOMFOVENT". DVS-P125+DPSS-125-125 vai ekvivalents</t>
  </si>
  <si>
    <t>Pieplūdes difuzors, "KOMFOVENT". DVS-P100 vai ekvivalents</t>
  </si>
  <si>
    <t>Tīrīšanas lūka apaļiem gaisa vadiem, "KOMFOVENT". KR-315 vai ekvivalents</t>
  </si>
  <si>
    <t>Tīrīšanas lūka apaļiem gaisa vadiem, "KOMFOVENT". KR-160 vai ekvivalents</t>
  </si>
  <si>
    <t>Tīrīšanas lūka apaļiem gaisa vadiem, "KOMFOVENT". KR-125 vai ekvivalents</t>
  </si>
  <si>
    <t>Tīrīšanas lūka apaļiem gaisa vadiem, "KOMFOVENT". KR-100 vai ekvivalents</t>
  </si>
  <si>
    <t>Tīrīšanas lūka apaļiem gaisa vadiem, "KOMFOVENT". KR-200 vai ekvivalents</t>
  </si>
  <si>
    <t>Tīrīšanas lūka apaļiem gaisa vadiem, "KOMFOVENT". KR-250 vai ekvivalents</t>
  </si>
  <si>
    <t>Krustgabals no cinkota skārda, "KOMFOVENT". KTRT-315-160 vai ekvivalents</t>
  </si>
  <si>
    <t>Krustgabals no cinkota skārda, "KOMFOVENT". KTRT-315-250 vai ekvivalents</t>
  </si>
  <si>
    <t>Gaisa vads no cinkota skārda, "KOMFOVENT". OS3-100 vai ekvivalents</t>
  </si>
  <si>
    <t>Gaisa vads no cinkota skārda, "KOMFOVENT". OS3-160 vai ekvivalents</t>
  </si>
  <si>
    <t>Gaisa vads no cinkota skārda, "KOMFOVENT". OS3-315 vai ekvivalents</t>
  </si>
  <si>
    <t>Gaisa vads no cinkota skārda, "KOMFOVENT". OS3-125 vai ekvivalents</t>
  </si>
  <si>
    <t>Gaisa vads no cinkota skārda, "KOMFOVENT". OS3-200 vai ekvivalents</t>
  </si>
  <si>
    <t>Gaisa vads no cinkota skārda, "KOMFOVENT". OS3-250 vai ekvivalents</t>
  </si>
  <si>
    <t>Trejgabals no cinkota skārda, "KOMFOVENT". TRT-250-200 vai ekvivalents</t>
  </si>
  <si>
    <t>Trejgabals no cinkota skārda, "KOMFOVENT". TRT-200-125 vai ekvivalents</t>
  </si>
  <si>
    <t>Trejgabals no cinkota skārda, "KOMFOVENT". TRT-200-160 vai ekvivalents</t>
  </si>
  <si>
    <t>Trejgabals no cinkota skārda, "KOMFOVENT". TRT-160-125 vai ekvivalents</t>
  </si>
  <si>
    <t>Trejgabals no cinkota skārda, "KOMFOVENT". TRT-160-100 vai ekvivalents</t>
  </si>
  <si>
    <t>Trejgabals no cinkota skārda, "KOMFOVENT". TRT-125-100 vai ekvivalents</t>
  </si>
  <si>
    <t>Trejgabals no cinkota skārda, "KOMFOVENT". TRT-100-100 vai ekvivalents</t>
  </si>
  <si>
    <r>
      <t>Pāreja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PCT-125-100</t>
    </r>
    <r>
      <rPr>
        <sz val="10"/>
        <rFont val="Times New Roman"/>
        <family val="1"/>
        <charset val="186"/>
      </rPr>
      <t xml:space="preserve"> vai ekvivalents</t>
    </r>
  </si>
  <si>
    <r>
      <t>Pāreja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PCT-160-100</t>
    </r>
    <r>
      <rPr>
        <sz val="10"/>
        <rFont val="Times New Roman"/>
        <family val="1"/>
        <charset val="186"/>
      </rPr>
      <t xml:space="preserve"> vai ekvivalents</t>
    </r>
  </si>
  <si>
    <r>
      <t>Pāreja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PCT-160-125</t>
    </r>
    <r>
      <rPr>
        <sz val="10"/>
        <rFont val="Times New Roman"/>
        <family val="1"/>
        <charset val="186"/>
      </rPr>
      <t xml:space="preserve"> vai ekvivalents</t>
    </r>
  </si>
  <si>
    <r>
      <t>Pāreja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PCT-200-160</t>
    </r>
    <r>
      <rPr>
        <sz val="10"/>
        <rFont val="Times New Roman"/>
        <family val="1"/>
        <charset val="186"/>
      </rPr>
      <t xml:space="preserve"> vai ekvivalents</t>
    </r>
  </si>
  <si>
    <r>
      <t>Pāreja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PCT-250-200</t>
    </r>
    <r>
      <rPr>
        <sz val="10"/>
        <rFont val="Times New Roman"/>
        <family val="1"/>
        <charset val="186"/>
      </rPr>
      <t xml:space="preserve"> vai ekvivalents</t>
    </r>
  </si>
  <si>
    <r>
      <t>Pāreja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PCT-200-125</t>
    </r>
    <r>
      <rPr>
        <sz val="10"/>
        <rFont val="Times New Roman"/>
        <family val="1"/>
        <charset val="186"/>
      </rPr>
      <t>vai ekvivalents</t>
    </r>
  </si>
  <si>
    <r>
      <t>Pāreja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PCT-315-100</t>
    </r>
    <r>
      <rPr>
        <sz val="10"/>
        <rFont val="Times New Roman"/>
        <family val="1"/>
        <charset val="186"/>
      </rPr>
      <t xml:space="preserve"> vai ekvivalents</t>
    </r>
  </si>
  <si>
    <r>
      <t>Pāreja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PCT-315-200</t>
    </r>
    <r>
      <rPr>
        <sz val="10"/>
        <rFont val="Times New Roman"/>
        <family val="1"/>
        <charset val="186"/>
      </rPr>
      <t xml:space="preserve"> vai ekvivalents</t>
    </r>
  </si>
  <si>
    <r>
      <t>Pāreja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PCT-315-400</t>
    </r>
    <r>
      <rPr>
        <sz val="10"/>
        <rFont val="Times New Roman"/>
        <family val="1"/>
        <charset val="186"/>
      </rPr>
      <t>vai ekvivalents</t>
    </r>
  </si>
  <si>
    <t>Līkums 45° no cinkota skārda, "KOMFOVENT". AT-45-315 vai ekvivalents</t>
  </si>
  <si>
    <t>Līkums 90° no cinkota skārda, "KOMFOVENT". AT-90-315vai ekvivalents</t>
  </si>
  <si>
    <t>Līkums 90° no cinkota skārda, "KOMFOVENT". AT-90-200 vai ekvivalents</t>
  </si>
  <si>
    <t>Līkums 90° no cinkota skārda, "KOMFOVENT". AT-90-160 vai ekvivalents</t>
  </si>
  <si>
    <t>Līkums 90° no cinkota skārda, "KOMFOVENT". ATP-90-125 vai ekvivalents</t>
  </si>
  <si>
    <t>Līkums 90° no cinkota skārda, "KOMFOVENT". ATP-90-100 vai ekvivalents</t>
  </si>
  <si>
    <t>Regulējama reste, "KOMFOVENT". SRG-3-325-76 vai ekvivalents</t>
  </si>
  <si>
    <t>Regulējama reste, "KOMFOVENT". SRG-3-6 25-75 vai ekvivalents</t>
  </si>
  <si>
    <t>Āra reste, "KOMFOVENT". YGAV-400 vai ekvivalents</t>
  </si>
  <si>
    <t>Jumtiņš, "KOMFOVENT". AHIP-315 vai ekvivalents</t>
  </si>
  <si>
    <t>Trokšņu slāpētājs, "KOMFOVENT". AGS-315-100-1200M vai ekvivalents</t>
  </si>
  <si>
    <t>Ūdens sajaukšanas mezgls. PPU-Hw-3R-1-W2 vai ekvivalents</t>
  </si>
  <si>
    <t>Ūdens kalorifers 3,7kW, "KOMFOVENT". DH-315 vai ekvivalents</t>
  </si>
  <si>
    <t>Vārsts ar elektropiedziņu un atsperi, "KOMFOVENT".  AGUJ-M-315+LF230 vai ekvivalents</t>
  </si>
  <si>
    <r>
      <t>PN ventilācijas agregāts P-1300m</t>
    </r>
    <r>
      <rPr>
        <vertAlign val="superscript"/>
        <sz val="10"/>
        <rFont val="Times New Roman"/>
        <family val="1"/>
        <charset val="186"/>
      </rPr>
      <t>3</t>
    </r>
    <r>
      <rPr>
        <sz val="9"/>
        <rFont val="Times New Roman"/>
        <family val="1"/>
        <charset val="204"/>
      </rPr>
      <t>/h; 445Pa, F75 filtrs; N-1315m</t>
    </r>
    <r>
      <rPr>
        <vertAlign val="superscript"/>
        <sz val="9"/>
        <rFont val="Times New Roman"/>
        <family val="1"/>
        <charset val="186"/>
      </rPr>
      <t>3</t>
    </r>
    <r>
      <rPr>
        <sz val="9"/>
        <rFont val="Times New Roman"/>
        <family val="1"/>
        <charset val="204"/>
      </rPr>
      <t>/h; 445Pa, M5 filtrs, pretplūsmas siltummainis n=82%,  220V/1F/50Hz, 2x460W, kreisās puses  izpildījums, "KOMFOVENT".  VERSO CF 1500 F C5 vai ekvivalents</t>
    </r>
  </si>
  <si>
    <t>Kondensāta sūknis ar rezervuāru 1F, 230V, 20l/st, Siccom ECO FLOWATCH vai ekvivalents</t>
  </si>
  <si>
    <t>"Tubolit" izolācijas čaula d=6mm TB-18/6*dG vai ekvivalents</t>
  </si>
  <si>
    <t>Akmens vates Lamella paklājs d=80mm, "PAROC" vai ekvivalents</t>
  </si>
  <si>
    <t>Sadalne GS  Mistral41W 54 mod. (3x18) 387x119x512mm IP41 41P18X32A. Sk. EL-5 vai ekvivalents</t>
  </si>
  <si>
    <t>Sadalne SS1  Mistral41W 36 mod. (3x12) 297x119x512mm IP41 41P12X32. Sk. EL-6 vai ekvivalents</t>
  </si>
  <si>
    <t>proj. gaismeklis BERYL NEW LED K-1 1800 MICRO-PRM E 33 IP20/44 830, 15W, V/A; vai ekvivalents</t>
  </si>
  <si>
    <t>proj. gaismeklis RUBIN POS LED 4400 MICRO-PRM E 830 / 600X600, 24W, V/A; vai ekvivalents</t>
  </si>
  <si>
    <t xml:space="preserve"> proj. gaismeklis BERYL SURFACE NEW LED O-1 1800 MICRO-PRM E IP44 34 830, 12W, V/A; vai ekvivalents</t>
  </si>
  <si>
    <t>proj. gaismeklis RUBIN POS LED 6600 MICRO-PRM E 830 / 600X600, 35W, V/A; vai ekvivalents</t>
  </si>
  <si>
    <t>proj. gaismeklis BERYL SURFACE NEW LED K-1 1800 MICRO-PRM E 34 830, 12W, V/A; vai ekvivalents</t>
  </si>
  <si>
    <t xml:space="preserve"> proj. gaismeklis X-LINE LED 3900 PLX E 24 830 / L-1692MM, 21W, V/A; vai ekvivalents</t>
  </si>
  <si>
    <t>proj. gaismeklis EOS SYS Circle 1500 60 degree DALI 927 DALI WHITE, 66W, V/A; vai ekvivalents</t>
  </si>
  <si>
    <t>proj. gaismeklis IKAR C 127 HO 827 FO WHITE, 12W, V/A; vai ekvivalents</t>
  </si>
  <si>
    <t xml:space="preserve"> proj. gaismeklis BERYL NEW LED O-1 1800 MICRO-PRM E 33 IP20/65 830, 12W, V/A; vai ekvivalents</t>
  </si>
  <si>
    <t>proj. gaismeklis X-LINE LED 2600 MICRO-PRM E 24 830 / L-1132MM, 14W, V/A; vai ekvivalents</t>
  </si>
  <si>
    <t xml:space="preserve">proj. gaismeklis X-WALL K9 LED 3250 PLX E IP44 24 840 / L-1415MM, 18W, V/A; vai ekvivalents </t>
  </si>
  <si>
    <t>proj. gaismeklis X-LINE LED 6500 MICRO-PRM E 24 830 / L-2814MM, 34W, V/A; vai ekvivalents</t>
  </si>
  <si>
    <t>proj. gaismeklis X-WALL K9 LED 3250 PLX E IP44 24 830 / L-1415MM, 18W, V/A; vai ekvivalents</t>
  </si>
  <si>
    <t>proj. avārijas gaismeklis, TM Technologie, 1W, 3h, IP20, V/A; vai ekvivalents</t>
  </si>
  <si>
    <t>proj. fasādes gaismeklis ar kūstības sensoru, IP44, 15W, V/A; vai ekvivalents</t>
  </si>
  <si>
    <t>proj. Klātbūtnes/kustības sensors CR-19 LED 180° IP44 z/a+v/a 1000W(LED) 20m balts GTV CR-CR19000-00; vai ekvivalents</t>
  </si>
  <si>
    <t xml:space="preserve"> proj. Klātbūtnes/kustības sensors CR-19 LED 360° IP44 z/a+v/a 1000W(LED) 20m balts GTV CR-CR19000-00; vai ekvivalents</t>
  </si>
  <si>
    <t>proj. ONTEC G   Avārijas gaismeklis 3h ST M E1E 301 LED balts TM-OG. EESTM300W, IP20, V/A; vai ekvivalents</t>
  </si>
  <si>
    <r>
      <t xml:space="preserve">CA presējamā karbona cinkotā caurule </t>
    </r>
    <r>
      <rPr>
        <sz val="9"/>
        <rFont val="Calibri"/>
        <family val="2"/>
        <charset val="1"/>
      </rPr>
      <t>Ø</t>
    </r>
    <r>
      <rPr>
        <sz val="9"/>
        <rFont val="Times New Roman"/>
        <family val="1"/>
        <charset val="204"/>
      </rPr>
      <t>18x1,2 DN15</t>
    </r>
  </si>
  <si>
    <r>
      <t>Noslēgvāks</t>
    </r>
    <r>
      <rPr>
        <sz val="13.5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186"/>
      </rPr>
      <t>no cinkota skārda, "KOMFOVENT". AKT-315</t>
    </r>
    <r>
      <rPr>
        <sz val="10"/>
        <rFont val="Times New Roman"/>
        <family val="1"/>
        <charset val="186"/>
      </rPr>
      <t xml:space="preserve"> vai ekvivalents</t>
    </r>
  </si>
  <si>
    <t>Rozete 1F IP44 16A, ar zemējumu, Z/A, komplektā ar kārbu</t>
  </si>
  <si>
    <t>Rozete 1F IP44 16A ar vāku, Z/A, ar zemējumu, komplektā ar kārbu</t>
  </si>
  <si>
    <t>Pārslēdzis 1p, IP20, Z/A, komplekta ar rāmi un kārbu</t>
  </si>
  <si>
    <t>Pārslēdzis 2p, IP20, Z/A, komplekta ar rāmi un kārbu</t>
  </si>
  <si>
    <t>Gatava špaktele Knauf Sheetrock vai ekvivalents</t>
  </si>
  <si>
    <t>Špaktele Uniflott vai ekvivalents</t>
  </si>
  <si>
    <t>Pakāpienu un pretpakapienu virsmas atjaunošana (Nodilumizturīga dekoratīvo pārslu seguma Peran floor flakes izveide) vai ekvivalents</t>
  </si>
  <si>
    <t>Aukstā ūdens skaitītājs Zenner MTK-N-AM, Q=2,5m3//h, DN15 vai ekvivalents</t>
  </si>
  <si>
    <t>Akumulatoru baterija 12A/h 12V, POWER BUBBLE PB1212 vai ekvivalents</t>
  </si>
  <si>
    <t>Uztveršanas un kontroles centrs SMARTLINE 036-4 vai ekvivalents</t>
  </si>
  <si>
    <t>Zonu paplašinātājs 8z, SMARTLINE 8Z vai ekvivalents</t>
  </si>
  <si>
    <t>Siltuma detektors PANASONIC 6295 vai ekvivalents</t>
  </si>
  <si>
    <t>Siltuma detektors NB323-2 vai ekvivalents</t>
  </si>
  <si>
    <t>Dūmu detektors NB338-2 vai ekvivalents</t>
  </si>
  <si>
    <t>Iznesamais gaismas indikators VSU-01 vai ekvivalents</t>
  </si>
  <si>
    <t>Ugunstrauksmes ziņojuma poga CQR FP/3RD vai ekvivalents</t>
  </si>
  <si>
    <t>Sirēna AH-03127S vai ekvivalents</t>
  </si>
  <si>
    <t>Sirēna ar strobspuldzi AH-03127BS vai ekvivalents</t>
  </si>
  <si>
    <t>Termoelements akumulatoriem PROBETH vai ekvivalents</t>
  </si>
  <si>
    <t>Signalizācijas kabelis BITNER HTKSHekw 1*2*0,8 LSZN vai ekvivalents</t>
  </si>
  <si>
    <t>Signalizācijas kabelis E30, ERSEKABLO JE-H(St) H FE180/E30 1*2*1+0,8 vai ekvivalents</t>
  </si>
  <si>
    <t>Spēka kabelis E30, ERSEKABLO (N) HXH-J FE180/E30 3*1,5 vai ekvivalents</t>
  </si>
  <si>
    <t>Poliplasta caurule d.25, EVOPIPE EVOEL FM-0H-SMART vai ekvivalents</t>
  </si>
  <si>
    <t>Poliplasta caurule d.50, EVOPIPE EVOEL FM-0H-SMART vai ekvivalents</t>
  </si>
  <si>
    <t>Stiprinājuma apskava kabelim OBO BETTERMANN 1015, komplektā 100 gab vai ekvivalents</t>
  </si>
  <si>
    <t>Stiprinājuma skrūves OBO BETTERMANN komplektā 100 gab vai ekvivalents</t>
  </si>
  <si>
    <t>Ugunsdrošās putas HILTI CFS-F FX vai ekvivalents</t>
  </si>
  <si>
    <t>Apsardzes radioraidītājs CORTEX vai ekvivalents</t>
  </si>
  <si>
    <t>19“ iekārtu skapis 600*600 15U, TRITON RUA-15-AS6-CAX-A1, ar stikla durvīm un noņemamiem sānu vākiem vai ekvivalents</t>
  </si>
  <si>
    <t>19“ventilators un termostats 1U, TRITON RAX-CH-X25-X1vai ekvivalents</t>
  </si>
  <si>
    <t>19“ plaukts TRITON vai ekvivalents</t>
  </si>
  <si>
    <t>19“ elektroapgāde panelis horizontāls 8P, TRITON RAB-PD-X02-A1 vai ekvivalents</t>
  </si>
  <si>
    <t>19“ kabeļu organizators 1U, TRITON RAB-VP-X11- vai ekvivalentsA1</t>
  </si>
  <si>
    <t>19“ zemējuma komplekts, TRITON, RAX-MS-X84-X1 vai ekvivalents</t>
  </si>
  <si>
    <t>19“ komutācijas panelis 1U 48*RJ45 cat 6, LANBERG PPU6-1048-B vai ekvivalents</t>
  </si>
  <si>
    <t>Bezvadu piekļūves punkts MIKROTIK RB
CAPGI-5acD2nD vai ekvivalents</t>
  </si>
  <si>
    <t>SFP modulis, MIKROTIK vai ekvivalents</t>
  </si>
  <si>
    <t>19“ PoE komutators, MIKROTIK CRS328-24P-4S+RM vai ekvivalents</t>
  </si>
  <si>
    <t>Patch kabelis cat 6 RJ45-RJ45 1m, DIGITUS DK-1617-010 vai ekvivalents</t>
  </si>
  <si>
    <t>Divvietīga Z/A telefonu un datoru tīklu rozete 2*RJ45 cat 6 vai ekvivalents</t>
  </si>
  <si>
    <t>Vienvietīga Z/A telefonu un datoru tīklu rozete 1*RJ45 cat 6, DIGITUS DN-93710 vai ekvivalents</t>
  </si>
  <si>
    <t>Rezerves barošanas avots Eaton 5P 850i R 600W vai ekvivalents</t>
  </si>
  <si>
    <t>IP videokamera (ārpusē uzstadāma), HIKVISION DS-2CD2T46G2-4I vai ekvivalents</t>
  </si>
  <si>
    <t>Komutācijas kārba priekš āra kameram, HIKVISION DS-1280ZJ-S vai ekvivalents</t>
  </si>
  <si>
    <t>IP videokamera (iekšpusē uzstadāma), HIKVISION DS-2CD2546G2-IS vai ekvivalents</t>
  </si>
  <si>
    <t>Tīkla videoserveris HIKVISION DS-7808NI-I2 vai ekvivalents</t>
  </si>
  <si>
    <t>Cietnis 4TB, WD40PURZ vai ekvivalents</t>
  </si>
  <si>
    <t>Uztveršanas un kontroles centrs DSC NEO HS2064 vai ekvivalents</t>
  </si>
  <si>
    <t>Metāla korpuss DSC PC5003H vai ekvivalents</t>
  </si>
  <si>
    <t>Transformators ME.TRE-45.66316/BSS vai ekvivalents</t>
  </si>
  <si>
    <t>Barošanas bloks DSC NEO HSM2300 vai ekvivalents</t>
  </si>
  <si>
    <t>Akumulatoru baterija 12A/h 12V, POWER BUBBLE PB1270 vai ekvivalents</t>
  </si>
  <si>
    <t>Zonu paplašināšanas modulis  DSC NEO HSM2108 vai ekvivalents</t>
  </si>
  <si>
    <t>Vadības pults DSC HS2LCD vai ekvivalents</t>
  </si>
  <si>
    <t>Bezvadu pogu komplekts 2 kanāli ELMES U2HS vai ekvivalents</t>
  </si>
  <si>
    <t>Kombinētais detektors JABLOTRON JS-25 COMBO vai ekvivalents</t>
  </si>
  <si>
    <t>Infrasarkano staru detektors OPTEX RXC-ST vai ekvivalents</t>
  </si>
  <si>
    <t>Sirēna 12V MR-300RD vai ekvivalents</t>
  </si>
  <si>
    <t>Kabelis C QR88*0,22 LSZH, CQR4*0,22 LSZH vai ekvivalents</t>
  </si>
  <si>
    <t>Invalīdu tualetes trauksmes izziņošanas komplekts C-TEC NC951 (trauksmes poga ar auklu, trauksmes deaktivācijas punkts, gaismeklis ar sirēnu, kontrolleris) vai ekvivalents</t>
  </si>
  <si>
    <t>Kabelis CQR4*0,22 LSZH vai ekvivalents</t>
  </si>
  <si>
    <t>Kodatslēga JANTAR REX K-3-A vai ekvivalents</t>
  </si>
  <si>
    <r>
      <t>Elektromagnētiskais sprūds durv</t>
    </r>
    <r>
      <rPr>
        <i/>
        <sz val="10"/>
        <rFont val="Times New Roman"/>
        <family val="1"/>
        <charset val="186"/>
      </rPr>
      <t>m Eff-Eff vai ekvivalents</t>
    </r>
  </si>
  <si>
    <t>Barošanas bloks PULSAR 12V DC 2A vai ekvivalents</t>
  </si>
  <si>
    <t>Kabelis  UTP 4*2*0,5 Cat6 LSZH vai ekvivalents</t>
  </si>
  <si>
    <t>Kabeļu kanāls, Obo Bettermann WDKH-30045 vai ekvivalents</t>
  </si>
  <si>
    <t>Kabelis  HTKSH 1*2*0,8 LSZH vai ekvivalents</t>
  </si>
  <si>
    <t>Izsaukuma signalizācijas sistēma invalīdu tualetē. Izsaukšanas poga, NC943b zonu kontrolieris NC806CS slēdzis, NC809DBBT signalizators, signallampa, sakaru kabelis vai ekvivalents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</si>
</sst>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\-??_-;_-@_-"/>
    <numFmt numFmtId="165" formatCode="_-* #,##0.00&quot; €&quot;_-;\-* #,##0.00&quot; €&quot;_-;_-* \-??&quot; €&quot;_-;_-@_-"/>
    <numFmt numFmtId="166" formatCode="[$-426]mmmm/yy"/>
    <numFmt numFmtId="167" formatCode="0.00;[Red]0.00"/>
    <numFmt numFmtId="168" formatCode="0.0"/>
    <numFmt numFmtId="169" formatCode="0.000"/>
  </numFmts>
  <fonts count="59" x14ac:knownFonts="1">
    <font>
      <sz val="11"/>
      <color rgb="FF000000"/>
      <name val="Calibri"/>
      <family val="2"/>
      <charset val="186"/>
    </font>
    <font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FF99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000000"/>
      <name val="Arial"/>
      <family val="2"/>
      <charset val="1"/>
    </font>
    <font>
      <i/>
      <sz val="11"/>
      <color rgb="FF808080"/>
      <name val="Calibri"/>
      <family val="2"/>
      <charset val="1"/>
    </font>
    <font>
      <i/>
      <sz val="12"/>
      <color rgb="FF7F7F7F"/>
      <name val="Times New Roman"/>
      <family val="2"/>
      <charset val="1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u/>
      <sz val="10"/>
      <color rgb="FF0000FF"/>
      <name val="Arial"/>
      <family val="2"/>
      <charset val="1"/>
    </font>
    <font>
      <u/>
      <sz val="11"/>
      <color rgb="FF0000FF"/>
      <name val="Calibri"/>
      <family val="2"/>
      <charset val="1"/>
    </font>
    <font>
      <sz val="11"/>
      <color rgb="FF333399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9900"/>
      <name val="Calibri"/>
      <family val="2"/>
      <charset val="1"/>
    </font>
    <font>
      <sz val="10"/>
      <name val="Times New Roman"/>
      <family val="1"/>
      <charset val="1"/>
    </font>
    <font>
      <sz val="11"/>
      <color rgb="FF993300"/>
      <name val="Calibri"/>
      <family val="2"/>
      <charset val="1"/>
    </font>
    <font>
      <sz val="10"/>
      <name val="Arial"/>
      <family val="2"/>
      <charset val="204"/>
    </font>
    <font>
      <sz val="9"/>
      <color rgb="FF000000"/>
      <name val="Calibri"/>
      <family val="2"/>
      <charset val="1"/>
    </font>
    <font>
      <sz val="10"/>
      <name val="Arial"/>
      <family val="2"/>
      <charset val="186"/>
    </font>
    <font>
      <sz val="10"/>
      <color rgb="FF000000"/>
      <name val="MS Sans Serif"/>
      <family val="2"/>
      <charset val="186"/>
    </font>
    <font>
      <b/>
      <sz val="18"/>
      <color rgb="FF003366"/>
      <name val="Cambria"/>
      <family val="2"/>
      <charset val="1"/>
    </font>
    <font>
      <sz val="10"/>
      <name val="Arial"/>
      <family val="2"/>
      <charset val="1"/>
    </font>
    <font>
      <sz val="10"/>
      <color rgb="FF000000"/>
      <name val="Times New Roman"/>
      <family val="1"/>
      <charset val="204"/>
    </font>
    <font>
      <sz val="10"/>
      <color rgb="FF41414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1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vertAlign val="superscript"/>
      <sz val="10"/>
      <name val="Times New Roman"/>
      <family val="1"/>
      <charset val="1"/>
    </font>
    <font>
      <vertAlign val="subscript"/>
      <sz val="10"/>
      <name val="Times New Roman"/>
      <family val="1"/>
      <charset val="1"/>
    </font>
    <font>
      <sz val="9"/>
      <name val="Calibri"/>
      <family val="2"/>
      <charset val="1"/>
    </font>
    <font>
      <sz val="9"/>
      <name val="Times New Roman"/>
      <family val="1"/>
      <charset val="204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3.5"/>
      <name val="Times New Roman"/>
      <family val="1"/>
      <charset val="204"/>
    </font>
    <font>
      <sz val="9"/>
      <name val="Times New Roman"/>
      <family val="1"/>
      <charset val="186"/>
    </font>
    <font>
      <b/>
      <sz val="10"/>
      <color rgb="FFC9211E"/>
      <name val="Times New Roman"/>
      <family val="1"/>
      <charset val="186"/>
    </font>
    <font>
      <i/>
      <sz val="1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0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1"/>
    </font>
  </fonts>
  <fills count="25">
    <fill>
      <patternFill patternType="none"/>
    </fill>
    <fill>
      <patternFill patternType="gray125"/>
    </fill>
    <fill>
      <patternFill patternType="solid">
        <fgColor rgb="FF33CCCC"/>
        <bgColor rgb="FF00CCFF"/>
      </patternFill>
    </fill>
    <fill>
      <patternFill patternType="solid">
        <fgColor rgb="FF333399"/>
        <bgColor rgb="FF414142"/>
      </patternFill>
    </fill>
    <fill>
      <patternFill patternType="solid">
        <fgColor rgb="FFFF0000"/>
        <bgColor rgb="FFC9211E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C000"/>
      </patternFill>
    </fill>
    <fill>
      <patternFill patternType="solid">
        <fgColor rgb="FFFF6600"/>
        <bgColor rgb="FFFF9900"/>
      </patternFill>
    </fill>
    <fill>
      <patternFill patternType="solid">
        <fgColor rgb="FF0066CC"/>
        <bgColor rgb="FF008080"/>
      </patternFill>
    </fill>
    <fill>
      <patternFill patternType="solid">
        <fgColor rgb="FFFF9900"/>
        <bgColor rgb="FFFF972F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33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>
      <alignment vertical="center" wrapText="1"/>
    </xf>
    <xf numFmtId="0" fontId="1" fillId="4" borderId="0" applyBorder="0" applyProtection="0">
      <alignment vertical="center" wrapText="1"/>
    </xf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5" borderId="0" applyBorder="0" applyProtection="0">
      <alignment vertical="center" wrapText="1"/>
    </xf>
    <xf numFmtId="0" fontId="2" fillId="6" borderId="0" applyBorder="0" applyProtection="0">
      <alignment vertical="center" wrapText="1"/>
    </xf>
    <xf numFmtId="0" fontId="2" fillId="7" borderId="0" applyBorder="0" applyProtection="0">
      <alignment vertical="center" wrapText="1"/>
    </xf>
    <xf numFmtId="0" fontId="2" fillId="8" borderId="0" applyBorder="0" applyProtection="0">
      <alignment vertical="center" wrapText="1"/>
    </xf>
    <xf numFmtId="0" fontId="2" fillId="9" borderId="0" applyBorder="0" applyProtection="0">
      <alignment vertical="center" wrapText="1"/>
    </xf>
    <xf numFmtId="0" fontId="2" fillId="10" borderId="0" applyBorder="0" applyProtection="0">
      <alignment vertical="center" wrapText="1"/>
    </xf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1" fillId="11" borderId="0" applyBorder="0" applyProtection="0">
      <alignment vertical="center" wrapText="1"/>
    </xf>
    <xf numFmtId="0" fontId="1" fillId="12" borderId="0" applyBorder="0" applyProtection="0">
      <alignment vertical="center" wrapText="1"/>
    </xf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8" borderId="0" applyBorder="0" applyProtection="0"/>
    <xf numFmtId="0" fontId="2" fillId="13" borderId="0" applyBorder="0" applyProtection="0"/>
    <xf numFmtId="0" fontId="2" fillId="16" borderId="0" applyBorder="0" applyProtection="0"/>
    <xf numFmtId="0" fontId="2" fillId="13" borderId="0" applyBorder="0" applyProtection="0">
      <alignment vertical="center" wrapText="1"/>
    </xf>
    <xf numFmtId="0" fontId="2" fillId="14" borderId="0" applyBorder="0" applyProtection="0">
      <alignment vertical="center" wrapText="1"/>
    </xf>
    <xf numFmtId="0" fontId="2" fillId="15" borderId="0" applyBorder="0" applyProtection="0">
      <alignment vertical="center" wrapText="1"/>
    </xf>
    <xf numFmtId="0" fontId="2" fillId="8" borderId="0" applyBorder="0" applyProtection="0">
      <alignment vertical="center" wrapText="1"/>
    </xf>
    <xf numFmtId="0" fontId="2" fillId="13" borderId="0" applyBorder="0" applyProtection="0">
      <alignment vertical="center" wrapText="1"/>
    </xf>
    <xf numFmtId="0" fontId="2" fillId="16" borderId="0" applyBorder="0" applyProtection="0">
      <alignment vertical="center" wrapText="1"/>
    </xf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8" borderId="0" applyBorder="0" applyProtection="0"/>
    <xf numFmtId="0" fontId="2" fillId="13" borderId="0" applyBorder="0" applyProtection="0"/>
    <xf numFmtId="0" fontId="2" fillId="16" borderId="0" applyBorder="0" applyProtection="0"/>
    <xf numFmtId="0" fontId="1" fillId="2" borderId="0" applyBorder="0" applyProtection="0">
      <alignment vertical="center" wrapText="1"/>
    </xf>
    <xf numFmtId="0" fontId="1" fillId="17" borderId="0" applyBorder="0" applyProtection="0">
      <alignment vertical="center" wrapText="1"/>
    </xf>
    <xf numFmtId="0" fontId="1" fillId="18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2" borderId="0" applyBorder="0" applyProtection="0"/>
    <xf numFmtId="0" fontId="1" fillId="2" borderId="0" applyBorder="0" applyProtection="0"/>
    <xf numFmtId="0" fontId="1" fillId="19" borderId="0" applyBorder="0" applyProtection="0"/>
    <xf numFmtId="0" fontId="1" fillId="18" borderId="0" applyBorder="0" applyProtection="0">
      <alignment vertical="center" wrapText="1"/>
    </xf>
    <xf numFmtId="0" fontId="1" fillId="14" borderId="0" applyBorder="0" applyProtection="0">
      <alignment vertical="center" wrapText="1"/>
    </xf>
    <xf numFmtId="0" fontId="1" fillId="15" borderId="0" applyBorder="0" applyProtection="0">
      <alignment vertical="center" wrapText="1"/>
    </xf>
    <xf numFmtId="0" fontId="1" fillId="12" borderId="0" applyBorder="0" applyProtection="0">
      <alignment vertical="center" wrapText="1"/>
    </xf>
    <xf numFmtId="0" fontId="1" fillId="2" borderId="0" applyBorder="0" applyProtection="0">
      <alignment vertical="center" wrapText="1"/>
    </xf>
    <xf numFmtId="0" fontId="1" fillId="19" borderId="0" applyBorder="0" applyProtection="0">
      <alignment vertical="center" wrapText="1"/>
    </xf>
    <xf numFmtId="0" fontId="1" fillId="18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2" borderId="0" applyBorder="0" applyProtection="0"/>
    <xf numFmtId="0" fontId="1" fillId="2" borderId="0" applyBorder="0" applyProtection="0"/>
    <xf numFmtId="0" fontId="1" fillId="19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2" borderId="0" applyBorder="0" applyProtection="0"/>
    <xf numFmtId="0" fontId="1" fillId="17" borderId="0" applyBorder="0" applyProtection="0"/>
    <xf numFmtId="0" fontId="3" fillId="20" borderId="1" applyProtection="0"/>
    <xf numFmtId="0" fontId="3" fillId="20" borderId="1" applyProtection="0"/>
    <xf numFmtId="0" fontId="3" fillId="20" borderId="1" applyProtection="0">
      <alignment vertical="center" wrapText="1"/>
    </xf>
    <xf numFmtId="0" fontId="3" fillId="20" borderId="1" applyProtection="0"/>
    <xf numFmtId="0" fontId="3" fillId="20" borderId="1" applyProtection="0"/>
    <xf numFmtId="0" fontId="4" fillId="6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>
      <alignment vertical="center" wrapText="1"/>
    </xf>
    <xf numFmtId="0" fontId="5" fillId="0" borderId="0" applyBorder="0" applyProtection="0"/>
    <xf numFmtId="0" fontId="3" fillId="20" borderId="1" applyProtection="0"/>
    <xf numFmtId="0" fontId="3" fillId="20" borderId="1" applyProtection="0"/>
    <xf numFmtId="0" fontId="3" fillId="20" borderId="1" applyProtection="0"/>
    <xf numFmtId="0" fontId="6" fillId="21" borderId="2" applyProtection="0"/>
    <xf numFmtId="164" fontId="7" fillId="0" borderId="0" applyBorder="0" applyProtection="0"/>
    <xf numFmtId="165" fontId="53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7" borderId="0" applyBorder="0" applyProtection="0"/>
    <xf numFmtId="0" fontId="4" fillId="6" borderId="0" applyBorder="0" applyProtection="0"/>
    <xf numFmtId="0" fontId="10" fillId="7" borderId="0" applyBorder="0" applyProtection="0"/>
    <xf numFmtId="0" fontId="11" fillId="0" borderId="3" applyProtection="0"/>
    <xf numFmtId="0" fontId="12" fillId="0" borderId="4" applyProtection="0"/>
    <xf numFmtId="0" fontId="13" fillId="0" borderId="5" applyProtection="0"/>
    <xf numFmtId="0" fontId="13" fillId="0" borderId="0" applyBorder="0" applyProtection="0"/>
    <xf numFmtId="0" fontId="14" fillId="0" borderId="0" applyBorder="0" applyProtection="0"/>
    <xf numFmtId="0" fontId="15" fillId="0" borderId="0" applyBorder="0" applyProtection="0"/>
    <xf numFmtId="0" fontId="5" fillId="0" borderId="0" applyBorder="0" applyProtection="0"/>
    <xf numFmtId="0" fontId="16" fillId="10" borderId="1" applyProtection="0"/>
    <xf numFmtId="0" fontId="16" fillId="10" borderId="1" applyProtection="0"/>
    <xf numFmtId="0" fontId="16" fillId="10" borderId="1" applyProtection="0">
      <alignment vertical="center" wrapText="1"/>
    </xf>
    <xf numFmtId="0" fontId="16" fillId="10" borderId="1" applyProtection="0"/>
    <xf numFmtId="0" fontId="16" fillId="10" borderId="1" applyProtection="0"/>
    <xf numFmtId="0" fontId="16" fillId="10" borderId="1" applyProtection="0"/>
    <xf numFmtId="0" fontId="16" fillId="10" borderId="1" applyProtection="0"/>
    <xf numFmtId="0" fontId="17" fillId="20" borderId="6" applyProtection="0"/>
    <xf numFmtId="0" fontId="17" fillId="20" borderId="6" applyProtection="0"/>
    <xf numFmtId="0" fontId="17" fillId="20" borderId="6" applyProtection="0">
      <alignment vertical="center" wrapText="1"/>
    </xf>
    <xf numFmtId="0" fontId="17" fillId="20" borderId="6" applyProtection="0"/>
    <xf numFmtId="0" fontId="18" fillId="0" borderId="7" applyProtection="0"/>
    <xf numFmtId="164" fontId="7" fillId="0" borderId="0" applyBorder="0" applyProtection="0"/>
    <xf numFmtId="164" fontId="53" fillId="0" borderId="0" applyBorder="0" applyProtection="0"/>
    <xf numFmtId="0" fontId="6" fillId="21" borderId="2" applyProtection="0"/>
    <xf numFmtId="0" fontId="18" fillId="0" borderId="7" applyProtection="0"/>
    <xf numFmtId="0" fontId="18" fillId="0" borderId="7" applyProtection="0"/>
    <xf numFmtId="0" fontId="18" fillId="0" borderId="7" applyProtection="0">
      <alignment vertical="center" wrapText="1"/>
    </xf>
    <xf numFmtId="0" fontId="18" fillId="0" borderId="7" applyProtection="0"/>
    <xf numFmtId="0" fontId="19" fillId="0" borderId="8" applyProtection="0"/>
    <xf numFmtId="0" fontId="19" fillId="0" borderId="8" applyProtection="0"/>
    <xf numFmtId="0" fontId="20" fillId="22" borderId="9" applyProtection="0"/>
    <xf numFmtId="0" fontId="21" fillId="23" borderId="0" applyBorder="0" applyProtection="0"/>
    <xf numFmtId="0" fontId="21" fillId="23" borderId="0" applyBorder="0" applyProtection="0"/>
    <xf numFmtId="0" fontId="21" fillId="23" borderId="0" applyBorder="0" applyProtection="0">
      <alignment vertical="center" wrapText="1"/>
    </xf>
    <xf numFmtId="0" fontId="21" fillId="23" borderId="0" applyBorder="0" applyProtection="0"/>
    <xf numFmtId="0" fontId="21" fillId="23" borderId="0" applyBorder="0" applyProtection="0"/>
    <xf numFmtId="0" fontId="21" fillId="23" borderId="0" applyBorder="0" applyProtection="0"/>
    <xf numFmtId="0" fontId="21" fillId="23" borderId="0" applyBorder="0" applyProtection="0"/>
    <xf numFmtId="0" fontId="21" fillId="23" borderId="0" applyBorder="0" applyProtection="0"/>
    <xf numFmtId="0" fontId="22" fillId="0" borderId="0"/>
    <xf numFmtId="0" fontId="22" fillId="0" borderId="0">
      <alignment vertical="center" wrapText="1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3" fillId="0" borderId="0"/>
    <xf numFmtId="0" fontId="22" fillId="0" borderId="0">
      <alignment vertical="center" wrapText="1"/>
    </xf>
    <xf numFmtId="0" fontId="22" fillId="0" borderId="0"/>
    <xf numFmtId="0" fontId="22" fillId="0" borderId="0">
      <alignment vertical="center" wrapText="1"/>
    </xf>
    <xf numFmtId="0" fontId="22" fillId="0" borderId="0">
      <alignment vertical="center" wrapText="1"/>
    </xf>
    <xf numFmtId="0" fontId="22" fillId="0" borderId="0">
      <alignment vertical="center" wrapText="1"/>
    </xf>
    <xf numFmtId="0" fontId="23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>
      <alignment vertical="center" wrapText="1"/>
    </xf>
    <xf numFmtId="166" fontId="22" fillId="0" borderId="0"/>
    <xf numFmtId="0" fontId="22" fillId="0" borderId="0"/>
    <xf numFmtId="0" fontId="2" fillId="0" borderId="0"/>
    <xf numFmtId="0" fontId="22" fillId="0" borderId="0"/>
    <xf numFmtId="0" fontId="20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2" fillId="0" borderId="0"/>
    <xf numFmtId="0" fontId="22" fillId="0" borderId="0"/>
    <xf numFmtId="166" fontId="22" fillId="0" borderId="0">
      <alignment vertical="center"/>
    </xf>
    <xf numFmtId="0" fontId="53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 wrapText="1"/>
    </xf>
    <xf numFmtId="0" fontId="22" fillId="0" borderId="0"/>
    <xf numFmtId="0" fontId="25" fillId="0" borderId="0"/>
    <xf numFmtId="0" fontId="26" fillId="0" borderId="0" applyBorder="0" applyProtection="0"/>
    <xf numFmtId="0" fontId="26" fillId="0" borderId="0" applyBorder="0" applyProtection="0"/>
    <xf numFmtId="0" fontId="26" fillId="0" borderId="0" applyBorder="0" applyProtection="0">
      <alignment vertical="center" wrapText="1"/>
    </xf>
    <xf numFmtId="0" fontId="26" fillId="0" borderId="0" applyBorder="0" applyProtection="0"/>
    <xf numFmtId="0" fontId="7" fillId="22" borderId="9" applyProtection="0"/>
    <xf numFmtId="0" fontId="22" fillId="22" borderId="9" applyProtection="0"/>
    <xf numFmtId="0" fontId="20" fillId="22" borderId="9" applyProtection="0"/>
    <xf numFmtId="0" fontId="17" fillId="20" borderId="6" applyProtection="0"/>
    <xf numFmtId="0" fontId="17" fillId="20" borderId="6" applyProtection="0"/>
    <xf numFmtId="0" fontId="17" fillId="20" borderId="6" applyProtection="0"/>
    <xf numFmtId="0" fontId="17" fillId="20" borderId="6" applyProtection="0"/>
    <xf numFmtId="0" fontId="17" fillId="20" borderId="6" applyProtection="0"/>
    <xf numFmtId="0" fontId="22" fillId="0" borderId="0"/>
    <xf numFmtId="0" fontId="24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6" fillId="0" borderId="0" applyBorder="0" applyProtection="0"/>
    <xf numFmtId="0" fontId="11" fillId="0" borderId="3" applyProtection="0"/>
    <xf numFmtId="0" fontId="12" fillId="0" borderId="4" applyProtection="0"/>
    <xf numFmtId="0" fontId="13" fillId="0" borderId="5" applyProtection="0"/>
    <xf numFmtId="0" fontId="13" fillId="0" borderId="0" applyBorder="0" applyProtection="0"/>
    <xf numFmtId="9" fontId="53" fillId="0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2" borderId="0" applyBorder="0" applyProtection="0"/>
    <xf numFmtId="0" fontId="1" fillId="17" borderId="0" applyBorder="0" applyProtection="0"/>
    <xf numFmtId="0" fontId="19" fillId="0" borderId="8" applyProtection="0">
      <alignment vertical="center" wrapText="1"/>
    </xf>
    <xf numFmtId="0" fontId="8" fillId="0" borderId="0" applyBorder="0" applyProtection="0"/>
    <xf numFmtId="0" fontId="16" fillId="10" borderId="1" applyProtection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6" fillId="0" borderId="0" applyBorder="0" applyProtection="0"/>
    <xf numFmtId="0" fontId="26" fillId="0" borderId="0" applyBorder="0" applyProtection="0"/>
    <xf numFmtId="0" fontId="18" fillId="0" borderId="7" applyProtection="0"/>
    <xf numFmtId="0" fontId="18" fillId="0" borderId="7" applyProtection="0"/>
    <xf numFmtId="0" fontId="17" fillId="20" borderId="6" applyProtection="0"/>
    <xf numFmtId="0" fontId="5" fillId="0" borderId="0" applyBorder="0" applyProtection="0"/>
    <xf numFmtId="0" fontId="5" fillId="0" borderId="0" applyBorder="0" applyProtection="0"/>
    <xf numFmtId="0" fontId="22" fillId="0" borderId="0"/>
    <xf numFmtId="0" fontId="27" fillId="0" borderId="0"/>
    <xf numFmtId="0" fontId="22" fillId="0" borderId="0"/>
    <xf numFmtId="0" fontId="24" fillId="0" borderId="0"/>
    <xf numFmtId="0" fontId="24" fillId="0" borderId="0"/>
    <xf numFmtId="0" fontId="22" fillId="0" borderId="0"/>
  </cellStyleXfs>
  <cellXfs count="459">
    <xf numFmtId="0" fontId="0" fillId="0" borderId="0" xfId="0"/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28" fillId="0" borderId="11" xfId="0" applyFont="1" applyBorder="1" applyAlignment="1">
      <alignment vertical="center"/>
    </xf>
    <xf numFmtId="0" fontId="28" fillId="0" borderId="12" xfId="0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2" fontId="28" fillId="0" borderId="20" xfId="0" applyNumberFormat="1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2" fontId="28" fillId="0" borderId="15" xfId="0" applyNumberFormat="1" applyFont="1" applyBorder="1" applyAlignment="1">
      <alignment horizontal="center" vertical="center"/>
    </xf>
    <xf numFmtId="2" fontId="28" fillId="0" borderId="0" xfId="0" applyNumberFormat="1" applyFont="1" applyAlignment="1">
      <alignment vertical="center"/>
    </xf>
    <xf numFmtId="0" fontId="28" fillId="0" borderId="24" xfId="0" applyFont="1" applyBorder="1" applyAlignment="1">
      <alignment vertical="center"/>
    </xf>
    <xf numFmtId="0" fontId="28" fillId="0" borderId="25" xfId="0" applyFont="1" applyBorder="1" applyAlignment="1">
      <alignment horizontal="right" vertical="center"/>
    </xf>
    <xf numFmtId="2" fontId="28" fillId="0" borderId="26" xfId="0" applyNumberFormat="1" applyFont="1" applyBorder="1" applyAlignment="1">
      <alignment horizontal="center" vertical="center"/>
    </xf>
    <xf numFmtId="0" fontId="28" fillId="0" borderId="27" xfId="0" applyFont="1" applyBorder="1" applyAlignment="1">
      <alignment vertical="center"/>
    </xf>
    <xf numFmtId="0" fontId="28" fillId="0" borderId="28" xfId="0" applyFont="1" applyBorder="1" applyAlignment="1">
      <alignment horizontal="right" vertical="center"/>
    </xf>
    <xf numFmtId="2" fontId="28" fillId="0" borderId="29" xfId="0" applyNumberFormat="1" applyFont="1" applyBorder="1" applyAlignment="1">
      <alignment horizontal="center" vertical="center"/>
    </xf>
    <xf numFmtId="0" fontId="20" fillId="0" borderId="0" xfId="142" applyFont="1" applyAlignment="1">
      <alignment vertical="center"/>
    </xf>
    <xf numFmtId="0" fontId="31" fillId="0" borderId="0" xfId="142" applyFont="1" applyAlignment="1">
      <alignment horizontal="center" vertical="center" wrapText="1"/>
    </xf>
    <xf numFmtId="0" fontId="28" fillId="0" borderId="11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11" xfId="0" applyFont="1" applyBorder="1" applyAlignment="1">
      <alignment horizontal="center" vertical="center"/>
    </xf>
    <xf numFmtId="2" fontId="28" fillId="0" borderId="11" xfId="0" applyNumberFormat="1" applyFont="1" applyBorder="1" applyAlignment="1">
      <alignment horizontal="center" vertical="center"/>
    </xf>
    <xf numFmtId="0" fontId="28" fillId="0" borderId="25" xfId="0" applyFont="1" applyBorder="1" applyAlignment="1">
      <alignment vertical="center"/>
    </xf>
    <xf numFmtId="0" fontId="28" fillId="0" borderId="25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2" fontId="28" fillId="0" borderId="43" xfId="0" applyNumberFormat="1" applyFont="1" applyBorder="1" applyAlignment="1">
      <alignment horizontal="center" vertical="center"/>
    </xf>
    <xf numFmtId="2" fontId="28" fillId="0" borderId="10" xfId="0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7" fontId="34" fillId="0" borderId="19" xfId="232" applyNumberFormat="1" applyFont="1" applyBorder="1" applyAlignment="1">
      <alignment horizontal="center" vertical="center" textRotation="90" wrapText="1" shrinkToFit="1"/>
    </xf>
    <xf numFmtId="167" fontId="34" fillId="0" borderId="10" xfId="232" applyNumberFormat="1" applyFont="1" applyBorder="1" applyAlignment="1">
      <alignment horizontal="center" vertical="center" textRotation="90" wrapText="1" shrinkToFit="1"/>
    </xf>
    <xf numFmtId="167" fontId="34" fillId="0" borderId="20" xfId="232" applyNumberFormat="1" applyFont="1" applyBorder="1" applyAlignment="1">
      <alignment horizontal="center" vertical="center" textRotation="90" wrapText="1" shrinkToFit="1"/>
    </xf>
    <xf numFmtId="167" fontId="34" fillId="0" borderId="43" xfId="232" applyNumberFormat="1" applyFont="1" applyBorder="1" applyAlignment="1">
      <alignment horizontal="center" vertical="center" textRotation="90" wrapText="1" shrinkToFit="1"/>
    </xf>
    <xf numFmtId="0" fontId="28" fillId="0" borderId="37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38" fillId="0" borderId="24" xfId="230" applyFont="1" applyBorder="1" applyAlignment="1">
      <alignment horizontal="center" vertical="center"/>
    </xf>
    <xf numFmtId="0" fontId="38" fillId="0" borderId="25" xfId="230" applyFont="1" applyBorder="1" applyAlignment="1">
      <alignment vertical="center"/>
    </xf>
    <xf numFmtId="0" fontId="38" fillId="0" borderId="25" xfId="230" applyFont="1" applyBorder="1" applyAlignment="1">
      <alignment horizontal="center" vertical="center" wrapText="1"/>
    </xf>
    <xf numFmtId="2" fontId="40" fillId="0" borderId="26" xfId="230" applyNumberFormat="1" applyFont="1" applyBorder="1" applyAlignment="1">
      <alignment horizontal="center" vertical="center"/>
    </xf>
    <xf numFmtId="4" fontId="38" fillId="0" borderId="40" xfId="230" applyNumberFormat="1" applyFont="1" applyBorder="1" applyAlignment="1">
      <alignment horizontal="center" vertical="center"/>
    </xf>
    <xf numFmtId="4" fontId="38" fillId="0" borderId="25" xfId="230" applyNumberFormat="1" applyFont="1" applyBorder="1" applyAlignment="1">
      <alignment horizontal="center" vertical="center"/>
    </xf>
    <xf numFmtId="4" fontId="38" fillId="0" borderId="38" xfId="230" applyNumberFormat="1" applyFont="1" applyBorder="1" applyAlignment="1">
      <alignment horizontal="center" vertical="center"/>
    </xf>
    <xf numFmtId="4" fontId="38" fillId="0" borderId="24" xfId="230" applyNumberFormat="1" applyFont="1" applyBorder="1" applyAlignment="1">
      <alignment horizontal="center" vertical="center"/>
    </xf>
    <xf numFmtId="4" fontId="38" fillId="0" borderId="26" xfId="230" applyNumberFormat="1" applyFont="1" applyBorder="1" applyAlignment="1">
      <alignment horizontal="center" vertical="center"/>
    </xf>
    <xf numFmtId="0" fontId="38" fillId="0" borderId="0" xfId="230" applyFont="1" applyAlignment="1">
      <alignment vertical="center"/>
    </xf>
    <xf numFmtId="0" fontId="38" fillId="0" borderId="1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2" fontId="39" fillId="0" borderId="20" xfId="0" applyNumberFormat="1" applyFont="1" applyBorder="1" applyAlignment="1">
      <alignment horizontal="center" vertical="center"/>
    </xf>
    <xf numFmtId="2" fontId="38" fillId="0" borderId="43" xfId="0" applyNumberFormat="1" applyFont="1" applyBorder="1" applyAlignment="1">
      <alignment horizontal="center" vertical="center"/>
    </xf>
    <xf numFmtId="4" fontId="38" fillId="0" borderId="10" xfId="231" applyNumberFormat="1" applyFont="1" applyBorder="1" applyAlignment="1">
      <alignment horizontal="center" vertical="center"/>
    </xf>
    <xf numFmtId="4" fontId="38" fillId="0" borderId="10" xfId="0" applyNumberFormat="1" applyFont="1" applyBorder="1" applyAlignment="1">
      <alignment horizontal="center" vertical="center"/>
    </xf>
    <xf numFmtId="4" fontId="38" fillId="0" borderId="41" xfId="231" applyNumberFormat="1" applyFont="1" applyBorder="1" applyAlignment="1">
      <alignment horizontal="center" vertical="center"/>
    </xf>
    <xf numFmtId="4" fontId="38" fillId="0" borderId="19" xfId="231" applyNumberFormat="1" applyFont="1" applyBorder="1" applyAlignment="1">
      <alignment horizontal="center" vertical="center"/>
    </xf>
    <xf numFmtId="4" fontId="38" fillId="0" borderId="20" xfId="231" applyNumberFormat="1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8" fillId="0" borderId="10" xfId="0" applyFont="1" applyBorder="1" applyAlignment="1">
      <alignment vertical="center"/>
    </xf>
    <xf numFmtId="0" fontId="38" fillId="0" borderId="19" xfId="230" applyFont="1" applyBorder="1" applyAlignment="1">
      <alignment horizontal="center" vertical="center"/>
    </xf>
    <xf numFmtId="0" fontId="38" fillId="0" borderId="10" xfId="230" applyFont="1" applyBorder="1" applyAlignment="1">
      <alignment horizontal="center" vertical="center" wrapText="1"/>
    </xf>
    <xf numFmtId="4" fontId="38" fillId="0" borderId="43" xfId="230" applyNumberFormat="1" applyFont="1" applyBorder="1" applyAlignment="1">
      <alignment horizontal="center" vertical="center"/>
    </xf>
    <xf numFmtId="4" fontId="38" fillId="0" borderId="10" xfId="230" applyNumberFormat="1" applyFont="1" applyBorder="1" applyAlignment="1">
      <alignment horizontal="center" vertical="center"/>
    </xf>
    <xf numFmtId="4" fontId="38" fillId="0" borderId="41" xfId="230" applyNumberFormat="1" applyFont="1" applyBorder="1" applyAlignment="1">
      <alignment horizontal="center" vertical="center"/>
    </xf>
    <xf numFmtId="4" fontId="38" fillId="0" borderId="19" xfId="230" applyNumberFormat="1" applyFont="1" applyBorder="1" applyAlignment="1">
      <alignment horizontal="center" vertical="center"/>
    </xf>
    <xf numFmtId="4" fontId="39" fillId="0" borderId="10" xfId="230" applyNumberFormat="1" applyFont="1" applyBorder="1" applyAlignment="1">
      <alignment horizontal="center" vertical="center"/>
    </xf>
    <xf numFmtId="4" fontId="40" fillId="0" borderId="20" xfId="230" applyNumberFormat="1" applyFont="1" applyBorder="1" applyAlignment="1">
      <alignment horizontal="center" vertical="center"/>
    </xf>
    <xf numFmtId="4" fontId="40" fillId="0" borderId="0" xfId="230" applyNumberFormat="1" applyFont="1" applyAlignment="1">
      <alignment vertical="center"/>
    </xf>
    <xf numFmtId="0" fontId="40" fillId="0" borderId="0" xfId="230" applyFont="1" applyAlignment="1">
      <alignment vertical="center"/>
    </xf>
    <xf numFmtId="0" fontId="38" fillId="0" borderId="10" xfId="0" applyFont="1" applyBorder="1" applyAlignment="1">
      <alignment vertical="center" wrapText="1"/>
    </xf>
    <xf numFmtId="0" fontId="28" fillId="0" borderId="21" xfId="0" applyFont="1" applyBorder="1" applyAlignment="1">
      <alignment vertical="center"/>
    </xf>
    <xf numFmtId="0" fontId="28" fillId="0" borderId="22" xfId="0" applyFont="1" applyBorder="1" applyAlignment="1">
      <alignment vertical="center"/>
    </xf>
    <xf numFmtId="0" fontId="28" fillId="0" borderId="37" xfId="0" applyFont="1" applyBorder="1" applyAlignment="1">
      <alignment vertical="center"/>
    </xf>
    <xf numFmtId="0" fontId="28" fillId="0" borderId="23" xfId="0" applyFont="1" applyBorder="1" applyAlignment="1">
      <alignment vertical="center"/>
    </xf>
    <xf numFmtId="0" fontId="28" fillId="0" borderId="36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28" fillId="0" borderId="14" xfId="0" applyFont="1" applyBorder="1" applyAlignment="1">
      <alignment vertical="center"/>
    </xf>
    <xf numFmtId="2" fontId="28" fillId="0" borderId="50" xfId="0" applyNumberFormat="1" applyFont="1" applyBorder="1" applyAlignment="1">
      <alignment horizontal="center" vertical="center"/>
    </xf>
    <xf numFmtId="2" fontId="28" fillId="0" borderId="14" xfId="0" applyNumberFormat="1" applyFont="1" applyBorder="1" applyAlignment="1">
      <alignment horizontal="center" vertical="center"/>
    </xf>
    <xf numFmtId="0" fontId="38" fillId="0" borderId="10" xfId="230" applyFont="1" applyBorder="1" applyAlignment="1">
      <alignment horizontal="center" vertical="center"/>
    </xf>
    <xf numFmtId="2" fontId="38" fillId="0" borderId="43" xfId="142" applyNumberFormat="1" applyFont="1" applyBorder="1" applyAlignment="1">
      <alignment horizontal="center" vertical="center"/>
    </xf>
    <xf numFmtId="4" fontId="38" fillId="0" borderId="10" xfId="142" applyNumberFormat="1" applyFont="1" applyBorder="1" applyAlignment="1">
      <alignment horizontal="center" vertical="center"/>
    </xf>
    <xf numFmtId="2" fontId="38" fillId="0" borderId="0" xfId="230" applyNumberFormat="1" applyFont="1" applyAlignment="1">
      <alignment vertical="center"/>
    </xf>
    <xf numFmtId="0" fontId="28" fillId="0" borderId="27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/>
    </xf>
    <xf numFmtId="0" fontId="38" fillId="0" borderId="16" xfId="230" applyFont="1" applyBorder="1" applyAlignment="1">
      <alignment horizontal="center" vertical="center"/>
    </xf>
    <xf numFmtId="0" fontId="38" fillId="0" borderId="17" xfId="230" applyFont="1" applyBorder="1" applyAlignment="1">
      <alignment vertical="center"/>
    </xf>
    <xf numFmtId="4" fontId="38" fillId="0" borderId="53" xfId="230" applyNumberFormat="1" applyFont="1" applyBorder="1" applyAlignment="1">
      <alignment horizontal="center" vertical="center"/>
    </xf>
    <xf numFmtId="4" fontId="38" fillId="0" borderId="17" xfId="231" applyNumberFormat="1" applyFont="1" applyBorder="1" applyAlignment="1">
      <alignment horizontal="center" vertical="center"/>
    </xf>
    <xf numFmtId="4" fontId="38" fillId="0" borderId="17" xfId="230" applyNumberFormat="1" applyFont="1" applyBorder="1" applyAlignment="1">
      <alignment horizontal="center" vertical="center"/>
    </xf>
    <xf numFmtId="4" fontId="38" fillId="0" borderId="47" xfId="230" applyNumberFormat="1" applyFont="1" applyBorder="1" applyAlignment="1">
      <alignment horizontal="center" vertical="center"/>
    </xf>
    <xf numFmtId="4" fontId="38" fillId="0" borderId="16" xfId="230" applyNumberFormat="1" applyFont="1" applyBorder="1" applyAlignment="1">
      <alignment horizontal="center" vertical="center"/>
    </xf>
    <xf numFmtId="4" fontId="38" fillId="0" borderId="18" xfId="230" applyNumberFormat="1" applyFont="1" applyBorder="1" applyAlignment="1">
      <alignment horizontal="center" vertical="center"/>
    </xf>
    <xf numFmtId="0" fontId="20" fillId="0" borderId="10" xfId="230" applyFont="1" applyBorder="1" applyAlignment="1">
      <alignment horizontal="right" vertical="center" wrapText="1"/>
    </xf>
    <xf numFmtId="0" fontId="28" fillId="0" borderId="26" xfId="0" applyFont="1" applyBorder="1" applyAlignment="1">
      <alignment vertical="center"/>
    </xf>
    <xf numFmtId="0" fontId="28" fillId="0" borderId="40" xfId="0" applyFont="1" applyBorder="1" applyAlignment="1">
      <alignment vertical="center"/>
    </xf>
    <xf numFmtId="2" fontId="38" fillId="0" borderId="19" xfId="0" applyNumberFormat="1" applyFont="1" applyBorder="1" applyAlignment="1">
      <alignment horizontal="center" vertical="center"/>
    </xf>
    <xf numFmtId="4" fontId="38" fillId="0" borderId="43" xfId="231" applyNumberFormat="1" applyFont="1" applyBorder="1" applyAlignment="1">
      <alignment horizontal="center" vertical="center"/>
    </xf>
    <xf numFmtId="0" fontId="20" fillId="0" borderId="10" xfId="232" applyFont="1" applyBorder="1" applyAlignment="1">
      <alignment horizontal="center" vertical="center"/>
    </xf>
    <xf numFmtId="0" fontId="20" fillId="0" borderId="10" xfId="232" applyFont="1" applyBorder="1" applyAlignment="1">
      <alignment horizontal="left" vertical="center" wrapText="1"/>
    </xf>
    <xf numFmtId="2" fontId="28" fillId="0" borderId="19" xfId="0" applyNumberFormat="1" applyFont="1" applyBorder="1" applyAlignment="1">
      <alignment horizontal="center" vertical="center"/>
    </xf>
    <xf numFmtId="0" fontId="28" fillId="0" borderId="16" xfId="0" applyFont="1" applyBorder="1" applyAlignment="1">
      <alignment vertical="center"/>
    </xf>
    <xf numFmtId="0" fontId="28" fillId="0" borderId="17" xfId="0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28" fillId="0" borderId="53" xfId="0" applyFont="1" applyBorder="1" applyAlignment="1">
      <alignment vertical="center"/>
    </xf>
    <xf numFmtId="0" fontId="28" fillId="0" borderId="28" xfId="0" applyFont="1" applyBorder="1" applyAlignment="1">
      <alignment vertical="center"/>
    </xf>
    <xf numFmtId="0" fontId="28" fillId="0" borderId="29" xfId="0" applyFont="1" applyBorder="1" applyAlignment="1">
      <alignment vertical="center"/>
    </xf>
    <xf numFmtId="2" fontId="38" fillId="0" borderId="19" xfId="142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right" vertical="center" wrapText="1"/>
    </xf>
    <xf numFmtId="0" fontId="28" fillId="0" borderId="19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0" fontId="28" fillId="0" borderId="20" xfId="0" applyFont="1" applyBorder="1" applyAlignment="1">
      <alignment vertical="center"/>
    </xf>
    <xf numFmtId="0" fontId="28" fillId="0" borderId="43" xfId="0" applyFont="1" applyBorder="1" applyAlignment="1">
      <alignment vertical="center"/>
    </xf>
    <xf numFmtId="0" fontId="28" fillId="0" borderId="51" xfId="0" applyFont="1" applyBorder="1" applyAlignment="1">
      <alignment vertical="center"/>
    </xf>
    <xf numFmtId="0" fontId="28" fillId="0" borderId="52" xfId="0" applyFont="1" applyBorder="1" applyAlignment="1">
      <alignment vertical="center"/>
    </xf>
    <xf numFmtId="0" fontId="28" fillId="0" borderId="54" xfId="0" applyFont="1" applyBorder="1" applyAlignment="1">
      <alignment vertical="center"/>
    </xf>
    <xf numFmtId="0" fontId="28" fillId="0" borderId="55" xfId="0" applyFont="1" applyBorder="1" applyAlignment="1">
      <alignment vertical="center"/>
    </xf>
    <xf numFmtId="2" fontId="28" fillId="0" borderId="57" xfId="0" applyNumberFormat="1" applyFont="1" applyBorder="1" applyAlignment="1">
      <alignment horizontal="center" vertical="center"/>
    </xf>
    <xf numFmtId="2" fontId="28" fillId="0" borderId="55" xfId="0" applyNumberFormat="1" applyFont="1" applyBorder="1" applyAlignment="1">
      <alignment horizontal="center" vertical="center"/>
    </xf>
    <xf numFmtId="2" fontId="28" fillId="0" borderId="56" xfId="0" applyNumberFormat="1" applyFont="1" applyBorder="1" applyAlignment="1">
      <alignment horizontal="center" vertical="center"/>
    </xf>
    <xf numFmtId="0" fontId="38" fillId="0" borderId="21" xfId="230" applyFont="1" applyBorder="1" applyAlignment="1">
      <alignment horizontal="center" vertical="center"/>
    </xf>
    <xf numFmtId="0" fontId="38" fillId="0" borderId="22" xfId="230" applyFont="1" applyBorder="1" applyAlignment="1">
      <alignment horizontal="center" vertical="center"/>
    </xf>
    <xf numFmtId="2" fontId="38" fillId="0" borderId="0" xfId="0" applyNumberFormat="1" applyFont="1" applyAlignment="1">
      <alignment vertical="center"/>
    </xf>
    <xf numFmtId="2" fontId="28" fillId="0" borderId="19" xfId="0" applyNumberFormat="1" applyFont="1" applyBorder="1" applyAlignment="1">
      <alignment vertical="center"/>
    </xf>
    <xf numFmtId="2" fontId="28" fillId="0" borderId="10" xfId="0" applyNumberFormat="1" applyFont="1" applyBorder="1" applyAlignment="1">
      <alignment vertical="center"/>
    </xf>
    <xf numFmtId="2" fontId="28" fillId="0" borderId="20" xfId="0" applyNumberFormat="1" applyFont="1" applyBorder="1" applyAlignment="1">
      <alignment vertical="center"/>
    </xf>
    <xf numFmtId="2" fontId="28" fillId="0" borderId="43" xfId="0" applyNumberFormat="1" applyFont="1" applyBorder="1" applyAlignment="1">
      <alignment vertical="center"/>
    </xf>
    <xf numFmtId="4" fontId="38" fillId="0" borderId="47" xfId="231" applyNumberFormat="1" applyFont="1" applyBorder="1" applyAlignment="1">
      <alignment horizontal="center" vertical="center"/>
    </xf>
    <xf numFmtId="4" fontId="38" fillId="0" borderId="16" xfId="231" applyNumberFormat="1" applyFont="1" applyBorder="1" applyAlignment="1">
      <alignment horizontal="center" vertical="center"/>
    </xf>
    <xf numFmtId="4" fontId="38" fillId="0" borderId="18" xfId="231" applyNumberFormat="1" applyFont="1" applyBorder="1" applyAlignment="1">
      <alignment horizontal="center" vertical="center"/>
    </xf>
    <xf numFmtId="0" fontId="38" fillId="0" borderId="10" xfId="232" applyFont="1" applyBorder="1" applyAlignment="1">
      <alignment horizontal="center" vertical="center"/>
    </xf>
    <xf numFmtId="0" fontId="38" fillId="0" borderId="10" xfId="0" applyFont="1" applyBorder="1" applyAlignment="1">
      <alignment horizontal="left" vertical="center" wrapText="1"/>
    </xf>
    <xf numFmtId="0" fontId="38" fillId="0" borderId="10" xfId="0" applyFont="1" applyBorder="1" applyAlignment="1">
      <alignment horizontal="right" vertical="center" wrapText="1"/>
    </xf>
    <xf numFmtId="0" fontId="38" fillId="0" borderId="10" xfId="142" applyFont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right" vertical="center"/>
    </xf>
    <xf numFmtId="16" fontId="42" fillId="0" borderId="11" xfId="0" applyNumberFormat="1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2" fontId="41" fillId="0" borderId="11" xfId="0" applyNumberFormat="1" applyFont="1" applyBorder="1" applyAlignment="1">
      <alignment horizontal="center" vertical="center"/>
    </xf>
    <xf numFmtId="2" fontId="41" fillId="0" borderId="0" xfId="0" applyNumberFormat="1" applyFont="1" applyAlignment="1">
      <alignment horizontal="center" vertical="center"/>
    </xf>
    <xf numFmtId="167" fontId="38" fillId="0" borderId="19" xfId="232" applyNumberFormat="1" applyFont="1" applyBorder="1" applyAlignment="1">
      <alignment horizontal="center" vertical="center" textRotation="90" wrapText="1" shrinkToFit="1"/>
    </xf>
    <xf numFmtId="167" fontId="38" fillId="0" borderId="10" xfId="232" applyNumberFormat="1" applyFont="1" applyBorder="1" applyAlignment="1">
      <alignment horizontal="center" vertical="center" textRotation="90" wrapText="1" shrinkToFit="1"/>
    </xf>
    <xf numFmtId="167" fontId="38" fillId="0" borderId="20" xfId="232" applyNumberFormat="1" applyFont="1" applyBorder="1" applyAlignment="1">
      <alignment horizontal="center" vertical="center" textRotation="90" wrapText="1" shrinkToFit="1"/>
    </xf>
    <xf numFmtId="167" fontId="38" fillId="0" borderId="43" xfId="232" applyNumberFormat="1" applyFont="1" applyBorder="1" applyAlignment="1">
      <alignment horizontal="center" vertical="center" textRotation="90" wrapText="1" shrinkToFit="1"/>
    </xf>
    <xf numFmtId="0" fontId="41" fillId="0" borderId="21" xfId="0" applyFont="1" applyBorder="1" applyAlignment="1">
      <alignment horizontal="center" vertical="center"/>
    </xf>
    <xf numFmtId="0" fontId="41" fillId="0" borderId="22" xfId="0" applyFont="1" applyBorder="1" applyAlignment="1">
      <alignment horizontal="center" vertical="center"/>
    </xf>
    <xf numFmtId="0" fontId="41" fillId="0" borderId="37" xfId="0" applyFont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0" borderId="36" xfId="0" applyFont="1" applyBorder="1" applyAlignment="1">
      <alignment horizontal="center" vertical="center"/>
    </xf>
    <xf numFmtId="0" fontId="41" fillId="0" borderId="24" xfId="0" applyFont="1" applyBorder="1" applyAlignment="1">
      <alignment vertical="center"/>
    </xf>
    <xf numFmtId="0" fontId="41" fillId="0" borderId="25" xfId="0" applyFont="1" applyBorder="1" applyAlignment="1">
      <alignment vertical="center"/>
    </xf>
    <xf numFmtId="0" fontId="41" fillId="0" borderId="38" xfId="0" applyFont="1" applyBorder="1" applyAlignment="1">
      <alignment vertical="center"/>
    </xf>
    <xf numFmtId="0" fontId="41" fillId="0" borderId="26" xfId="0" applyFont="1" applyBorder="1" applyAlignment="1">
      <alignment vertical="center"/>
    </xf>
    <xf numFmtId="0" fontId="41" fillId="0" borderId="40" xfId="0" applyFont="1" applyBorder="1" applyAlignment="1">
      <alignment vertical="center"/>
    </xf>
    <xf numFmtId="0" fontId="38" fillId="0" borderId="10" xfId="232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/>
    </xf>
    <xf numFmtId="0" fontId="41" fillId="0" borderId="28" xfId="0" applyFont="1" applyBorder="1" applyAlignment="1">
      <alignment vertical="center"/>
    </xf>
    <xf numFmtId="0" fontId="41" fillId="0" borderId="51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1" fillId="0" borderId="52" xfId="0" applyFont="1" applyBorder="1" applyAlignment="1">
      <alignment vertical="center"/>
    </xf>
    <xf numFmtId="0" fontId="41" fillId="0" borderId="13" xfId="0" applyFont="1" applyBorder="1" applyAlignment="1">
      <alignment vertical="center"/>
    </xf>
    <xf numFmtId="0" fontId="41" fillId="0" borderId="14" xfId="0" applyFont="1" applyBorder="1" applyAlignment="1">
      <alignment vertical="center"/>
    </xf>
    <xf numFmtId="2" fontId="41" fillId="0" borderId="50" xfId="0" applyNumberFormat="1" applyFont="1" applyBorder="1" applyAlignment="1">
      <alignment horizontal="center" vertical="center"/>
    </xf>
    <xf numFmtId="2" fontId="41" fillId="0" borderId="14" xfId="0" applyNumberFormat="1" applyFont="1" applyBorder="1" applyAlignment="1">
      <alignment horizontal="center" vertical="center"/>
    </xf>
    <xf numFmtId="2" fontId="41" fillId="0" borderId="15" xfId="0" applyNumberFormat="1" applyFont="1" applyBorder="1" applyAlignment="1">
      <alignment horizontal="center" vertical="center"/>
    </xf>
    <xf numFmtId="0" fontId="41" fillId="0" borderId="11" xfId="0" applyFont="1" applyBorder="1" applyAlignment="1">
      <alignment vertical="center"/>
    </xf>
    <xf numFmtId="0" fontId="41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16" fontId="35" fillId="0" borderId="11" xfId="0" applyNumberFormat="1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7" fontId="20" fillId="0" borderId="19" xfId="232" applyNumberFormat="1" applyFont="1" applyBorder="1" applyAlignment="1">
      <alignment horizontal="center" vertical="center" textRotation="90" wrapText="1" shrinkToFit="1"/>
    </xf>
    <xf numFmtId="167" fontId="20" fillId="0" borderId="10" xfId="232" applyNumberFormat="1" applyFont="1" applyBorder="1" applyAlignment="1">
      <alignment horizontal="center" vertical="center" textRotation="90" wrapText="1" shrinkToFit="1"/>
    </xf>
    <xf numFmtId="167" fontId="20" fillId="0" borderId="20" xfId="232" applyNumberFormat="1" applyFont="1" applyBorder="1" applyAlignment="1">
      <alignment horizontal="center" vertical="center" textRotation="90" wrapText="1" shrinkToFit="1"/>
    </xf>
    <xf numFmtId="167" fontId="20" fillId="0" borderId="43" xfId="232" applyNumberFormat="1" applyFont="1" applyBorder="1" applyAlignment="1">
      <alignment horizontal="center" vertical="center" textRotation="90" wrapText="1" shrinkToFit="1"/>
    </xf>
    <xf numFmtId="0" fontId="36" fillId="0" borderId="21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37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36" fillId="0" borderId="24" xfId="0" applyFont="1" applyBorder="1" applyAlignment="1">
      <alignment vertical="center"/>
    </xf>
    <xf numFmtId="0" fontId="36" fillId="0" borderId="25" xfId="0" applyFont="1" applyBorder="1" applyAlignment="1">
      <alignment vertical="center"/>
    </xf>
    <xf numFmtId="0" fontId="36" fillId="0" borderId="26" xfId="0" applyFont="1" applyBorder="1" applyAlignment="1">
      <alignment vertical="center"/>
    </xf>
    <xf numFmtId="0" fontId="36" fillId="0" borderId="40" xfId="0" applyFont="1" applyBorder="1" applyAlignment="1">
      <alignment vertical="center"/>
    </xf>
    <xf numFmtId="0" fontId="20" fillId="0" borderId="19" xfId="230" applyFont="1" applyBorder="1" applyAlignment="1">
      <alignment horizontal="center" vertical="center"/>
    </xf>
    <xf numFmtId="0" fontId="20" fillId="0" borderId="10" xfId="230" applyFont="1" applyBorder="1" applyAlignment="1">
      <alignment horizontal="center" vertical="center"/>
    </xf>
    <xf numFmtId="2" fontId="20" fillId="0" borderId="19" xfId="142" applyNumberFormat="1" applyFont="1" applyBorder="1" applyAlignment="1">
      <alignment horizontal="center" vertical="center"/>
    </xf>
    <xf numFmtId="4" fontId="20" fillId="0" borderId="10" xfId="231" applyNumberFormat="1" applyFont="1" applyBorder="1" applyAlignment="1">
      <alignment horizontal="center" vertical="center"/>
    </xf>
    <xf numFmtId="4" fontId="20" fillId="0" borderId="10" xfId="142" applyNumberFormat="1" applyFont="1" applyBorder="1" applyAlignment="1">
      <alignment horizontal="center" vertical="center"/>
    </xf>
    <xf numFmtId="4" fontId="20" fillId="0" borderId="20" xfId="231" applyNumberFormat="1" applyFont="1" applyBorder="1" applyAlignment="1">
      <alignment horizontal="center" vertical="center"/>
    </xf>
    <xf numFmtId="4" fontId="20" fillId="0" borderId="43" xfId="231" applyNumberFormat="1" applyFont="1" applyBorder="1" applyAlignment="1">
      <alignment horizontal="center" vertical="center"/>
    </xf>
    <xf numFmtId="0" fontId="20" fillId="0" borderId="0" xfId="230" applyFont="1" applyAlignment="1">
      <alignment vertical="center"/>
    </xf>
    <xf numFmtId="2" fontId="20" fillId="0" borderId="0" xfId="230" applyNumberFormat="1" applyFont="1" applyAlignment="1">
      <alignment vertical="center"/>
    </xf>
    <xf numFmtId="4" fontId="20" fillId="0" borderId="10" xfId="230" applyNumberFormat="1" applyFont="1" applyBorder="1" applyAlignment="1">
      <alignment horizontal="center" vertical="center"/>
    </xf>
    <xf numFmtId="0" fontId="36" fillId="0" borderId="27" xfId="0" applyFont="1" applyBorder="1" applyAlignment="1">
      <alignment vertical="center"/>
    </xf>
    <xf numFmtId="0" fontId="36" fillId="0" borderId="28" xfId="0" applyFont="1" applyBorder="1" applyAlignment="1">
      <alignment vertical="center"/>
    </xf>
    <xf numFmtId="0" fontId="36" fillId="0" borderId="51" xfId="0" applyFont="1" applyBorder="1" applyAlignment="1">
      <alignment vertical="center"/>
    </xf>
    <xf numFmtId="0" fontId="36" fillId="0" borderId="29" xfId="0" applyFont="1" applyBorder="1" applyAlignment="1">
      <alignment vertical="center"/>
    </xf>
    <xf numFmtId="0" fontId="36" fillId="0" borderId="52" xfId="0" applyFont="1" applyBorder="1" applyAlignment="1">
      <alignment vertical="center"/>
    </xf>
    <xf numFmtId="0" fontId="36" fillId="0" borderId="13" xfId="0" applyFont="1" applyBorder="1" applyAlignment="1">
      <alignment vertical="center"/>
    </xf>
    <xf numFmtId="0" fontId="36" fillId="0" borderId="14" xfId="0" applyFont="1" applyBorder="1" applyAlignment="1">
      <alignment vertical="center"/>
    </xf>
    <xf numFmtId="2" fontId="36" fillId="0" borderId="50" xfId="0" applyNumberFormat="1" applyFont="1" applyBorder="1" applyAlignment="1">
      <alignment horizontal="center" vertical="center"/>
    </xf>
    <xf numFmtId="2" fontId="36" fillId="0" borderId="14" xfId="0" applyNumberFormat="1" applyFont="1" applyBorder="1" applyAlignment="1">
      <alignment horizontal="center" vertical="center"/>
    </xf>
    <xf numFmtId="2" fontId="36" fillId="0" borderId="15" xfId="0" applyNumberFormat="1" applyFont="1" applyBorder="1" applyAlignment="1">
      <alignment horizontal="center" vertical="center"/>
    </xf>
    <xf numFmtId="0" fontId="36" fillId="0" borderId="11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20" fillId="0" borderId="10" xfId="232" applyFont="1" applyBorder="1" applyAlignment="1">
      <alignment horizontal="left" vertical="center"/>
    </xf>
    <xf numFmtId="0" fontId="20" fillId="0" borderId="10" xfId="232" applyFont="1" applyBorder="1" applyAlignment="1">
      <alignment vertical="center" wrapText="1"/>
    </xf>
    <xf numFmtId="0" fontId="20" fillId="0" borderId="10" xfId="232" applyFont="1" applyBorder="1" applyAlignment="1">
      <alignment vertical="center"/>
    </xf>
    <xf numFmtId="0" fontId="38" fillId="0" borderId="10" xfId="232" applyFont="1" applyBorder="1" applyAlignment="1">
      <alignment vertical="center" wrapText="1"/>
    </xf>
    <xf numFmtId="0" fontId="38" fillId="0" borderId="27" xfId="230" applyFont="1" applyBorder="1" applyAlignment="1">
      <alignment horizontal="center" vertical="center"/>
    </xf>
    <xf numFmtId="0" fontId="38" fillId="0" borderId="28" xfId="230" applyFont="1" applyBorder="1" applyAlignment="1">
      <alignment horizontal="center" vertical="center"/>
    </xf>
    <xf numFmtId="0" fontId="41" fillId="0" borderId="28" xfId="0" applyFont="1" applyBorder="1" applyAlignment="1">
      <alignment vertical="center" wrapText="1"/>
    </xf>
    <xf numFmtId="0" fontId="41" fillId="0" borderId="28" xfId="0" applyFont="1" applyBorder="1" applyAlignment="1">
      <alignment horizontal="center" vertical="center" wrapText="1"/>
    </xf>
    <xf numFmtId="2" fontId="51" fillId="0" borderId="29" xfId="0" applyNumberFormat="1" applyFont="1" applyBorder="1" applyAlignment="1">
      <alignment horizontal="center" vertical="center"/>
    </xf>
    <xf numFmtId="0" fontId="41" fillId="0" borderId="54" xfId="0" applyFont="1" applyBorder="1" applyAlignment="1">
      <alignment vertical="center"/>
    </xf>
    <xf numFmtId="0" fontId="41" fillId="0" borderId="55" xfId="0" applyFont="1" applyBorder="1" applyAlignment="1">
      <alignment vertical="center"/>
    </xf>
    <xf numFmtId="0" fontId="38" fillId="0" borderId="41" xfId="0" applyFont="1" applyBorder="1" applyAlignment="1">
      <alignment horizontal="center" vertical="center" wrapText="1"/>
    </xf>
    <xf numFmtId="2" fontId="39" fillId="0" borderId="10" xfId="0" applyNumberFormat="1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/>
    </xf>
    <xf numFmtId="2" fontId="28" fillId="0" borderId="42" xfId="0" applyNumberFormat="1" applyFont="1" applyBorder="1" applyAlignment="1">
      <alignment horizontal="center" vertical="center"/>
    </xf>
    <xf numFmtId="0" fontId="36" fillId="0" borderId="19" xfId="232" applyFont="1" applyBorder="1" applyAlignment="1">
      <alignment horizontal="center" vertical="center"/>
    </xf>
    <xf numFmtId="0" fontId="34" fillId="0" borderId="10" xfId="232" applyFont="1" applyBorder="1" applyAlignment="1">
      <alignment horizontal="center" vertical="center"/>
    </xf>
    <xf numFmtId="0" fontId="22" fillId="0" borderId="0" xfId="232" applyAlignment="1">
      <alignment vertical="center"/>
    </xf>
    <xf numFmtId="0" fontId="0" fillId="0" borderId="0" xfId="0" applyAlignment="1">
      <alignment vertical="center"/>
    </xf>
    <xf numFmtId="1" fontId="38" fillId="0" borderId="19" xfId="174" applyNumberFormat="1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/>
    </xf>
    <xf numFmtId="2" fontId="38" fillId="0" borderId="53" xfId="0" applyNumberFormat="1" applyFont="1" applyBorder="1" applyAlignment="1">
      <alignment horizontal="center" vertical="center"/>
    </xf>
    <xf numFmtId="4" fontId="38" fillId="0" borderId="17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34" fillId="0" borderId="19" xfId="230" applyFont="1" applyBorder="1" applyAlignment="1">
      <alignment horizontal="center" vertical="center"/>
    </xf>
    <xf numFmtId="0" fontId="34" fillId="0" borderId="10" xfId="230" applyFont="1" applyBorder="1" applyAlignment="1">
      <alignment horizontal="center" vertical="center"/>
    </xf>
    <xf numFmtId="0" fontId="34" fillId="0" borderId="0" xfId="230" applyFont="1" applyAlignment="1">
      <alignment vertical="center"/>
    </xf>
    <xf numFmtId="0" fontId="36" fillId="0" borderId="10" xfId="0" applyFont="1" applyBorder="1" applyAlignment="1">
      <alignment horizontal="center" vertical="center"/>
    </xf>
    <xf numFmtId="0" fontId="38" fillId="0" borderId="59" xfId="230" applyFont="1" applyBorder="1" applyAlignment="1">
      <alignment horizontal="center" vertical="center"/>
    </xf>
    <xf numFmtId="0" fontId="20" fillId="0" borderId="59" xfId="0" applyFont="1" applyBorder="1" applyAlignment="1">
      <alignment horizontal="right" vertical="center" wrapText="1"/>
    </xf>
    <xf numFmtId="0" fontId="38" fillId="0" borderId="59" xfId="0" applyFont="1" applyBorder="1" applyAlignment="1">
      <alignment horizontal="center" vertical="center"/>
    </xf>
    <xf numFmtId="2" fontId="38" fillId="0" borderId="61" xfId="142" applyNumberFormat="1" applyFont="1" applyBorder="1" applyAlignment="1">
      <alignment horizontal="center" vertical="center"/>
    </xf>
    <xf numFmtId="4" fontId="38" fillId="0" borderId="59" xfId="231" applyNumberFormat="1" applyFont="1" applyBorder="1" applyAlignment="1">
      <alignment horizontal="center" vertical="center"/>
    </xf>
    <xf numFmtId="4" fontId="38" fillId="0" borderId="59" xfId="142" applyNumberFormat="1" applyFont="1" applyBorder="1" applyAlignment="1">
      <alignment horizontal="center" vertical="center"/>
    </xf>
    <xf numFmtId="4" fontId="38" fillId="0" borderId="62" xfId="231" applyNumberFormat="1" applyFont="1" applyBorder="1" applyAlignment="1">
      <alignment horizontal="center" vertical="center"/>
    </xf>
    <xf numFmtId="4" fontId="38" fillId="0" borderId="58" xfId="231" applyNumberFormat="1" applyFont="1" applyBorder="1" applyAlignment="1">
      <alignment horizontal="center" vertical="center"/>
    </xf>
    <xf numFmtId="4" fontId="38" fillId="0" borderId="60" xfId="231" applyNumberFormat="1" applyFont="1" applyBorder="1" applyAlignment="1">
      <alignment horizontal="center" vertical="center"/>
    </xf>
    <xf numFmtId="2" fontId="28" fillId="0" borderId="63" xfId="0" applyNumberFormat="1" applyFont="1" applyBorder="1" applyAlignment="1">
      <alignment horizontal="center" vertical="center"/>
    </xf>
    <xf numFmtId="2" fontId="34" fillId="0" borderId="43" xfId="142" applyNumberFormat="1" applyFont="1" applyBorder="1" applyAlignment="1">
      <alignment horizontal="center" vertical="center"/>
    </xf>
    <xf numFmtId="4" fontId="34" fillId="0" borderId="10" xfId="231" applyNumberFormat="1" applyFont="1" applyBorder="1" applyAlignment="1">
      <alignment horizontal="center" vertical="center"/>
    </xf>
    <xf numFmtId="4" fontId="34" fillId="0" borderId="10" xfId="142" applyNumberFormat="1" applyFont="1" applyBorder="1" applyAlignment="1">
      <alignment horizontal="center" vertical="center"/>
    </xf>
    <xf numFmtId="4" fontId="34" fillId="0" borderId="41" xfId="231" applyNumberFormat="1" applyFont="1" applyBorder="1" applyAlignment="1">
      <alignment horizontal="center" vertical="center"/>
    </xf>
    <xf numFmtId="4" fontId="34" fillId="0" borderId="19" xfId="231" applyNumberFormat="1" applyFont="1" applyBorder="1" applyAlignment="1">
      <alignment horizontal="center" vertical="center"/>
    </xf>
    <xf numFmtId="4" fontId="34" fillId="0" borderId="20" xfId="231" applyNumberFormat="1" applyFont="1" applyBorder="1" applyAlignment="1">
      <alignment horizontal="center" vertical="center"/>
    </xf>
    <xf numFmtId="2" fontId="34" fillId="0" borderId="0" xfId="230" applyNumberFormat="1" applyFont="1" applyAlignment="1">
      <alignment vertical="center"/>
    </xf>
    <xf numFmtId="4" fontId="34" fillId="0" borderId="10" xfId="230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2" fontId="28" fillId="0" borderId="30" xfId="0" applyNumberFormat="1" applyFont="1" applyBorder="1" applyAlignment="1">
      <alignment horizontal="center" vertical="center"/>
    </xf>
    <xf numFmtId="0" fontId="34" fillId="0" borderId="36" xfId="232" applyFont="1" applyBorder="1" applyAlignment="1">
      <alignment horizontal="center" vertical="center" wrapText="1"/>
    </xf>
    <xf numFmtId="0" fontId="34" fillId="0" borderId="22" xfId="232" applyFont="1" applyBorder="1" applyAlignment="1">
      <alignment horizontal="center" vertical="center" wrapText="1"/>
    </xf>
    <xf numFmtId="0" fontId="34" fillId="0" borderId="37" xfId="232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2" fontId="28" fillId="0" borderId="41" xfId="0" applyNumberFormat="1" applyFont="1" applyBorder="1" applyAlignment="1">
      <alignment horizontal="center" vertical="center"/>
    </xf>
    <xf numFmtId="2" fontId="28" fillId="0" borderId="44" xfId="0" applyNumberFormat="1" applyFont="1" applyBorder="1" applyAlignment="1">
      <alignment horizontal="center" vertical="center"/>
    </xf>
    <xf numFmtId="2" fontId="28" fillId="0" borderId="36" xfId="0" applyNumberFormat="1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2" fontId="33" fillId="0" borderId="46" xfId="0" applyNumberFormat="1" applyFont="1" applyBorder="1" applyAlignment="1">
      <alignment horizontal="center" vertical="center"/>
    </xf>
    <xf numFmtId="0" fontId="28" fillId="0" borderId="17" xfId="0" applyFont="1" applyBorder="1" applyAlignment="1">
      <alignment horizontal="right" vertical="center"/>
    </xf>
    <xf numFmtId="10" fontId="37" fillId="0" borderId="47" xfId="0" applyNumberFormat="1" applyFont="1" applyBorder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8" fillId="0" borderId="10" xfId="0" applyFont="1" applyBorder="1" applyAlignment="1">
      <alignment horizontal="right" vertical="center"/>
    </xf>
    <xf numFmtId="10" fontId="37" fillId="0" borderId="41" xfId="0" applyNumberFormat="1" applyFont="1" applyBorder="1" applyAlignment="1">
      <alignment horizontal="center" vertical="center"/>
    </xf>
    <xf numFmtId="0" fontId="28" fillId="0" borderId="42" xfId="0" applyFont="1" applyBorder="1" applyAlignment="1">
      <alignment horizontal="center" vertical="center"/>
    </xf>
    <xf numFmtId="0" fontId="28" fillId="0" borderId="22" xfId="0" applyFont="1" applyBorder="1" applyAlignment="1">
      <alignment horizontal="right" vertical="center"/>
    </xf>
    <xf numFmtId="10" fontId="37" fillId="0" borderId="37" xfId="0" applyNumberFormat="1" applyFont="1" applyBorder="1" applyAlignment="1">
      <alignment horizontal="center" vertical="center"/>
    </xf>
    <xf numFmtId="2" fontId="28" fillId="0" borderId="46" xfId="0" applyNumberFormat="1" applyFont="1" applyBorder="1" applyAlignment="1">
      <alignment horizontal="center" vertical="center"/>
    </xf>
    <xf numFmtId="0" fontId="38" fillId="0" borderId="17" xfId="230" applyFont="1" applyBorder="1" applyAlignment="1">
      <alignment horizontal="center" vertical="center"/>
    </xf>
    <xf numFmtId="2" fontId="38" fillId="0" borderId="53" xfId="142" applyNumberFormat="1" applyFont="1" applyBorder="1" applyAlignment="1">
      <alignment horizontal="center" vertical="center"/>
    </xf>
    <xf numFmtId="4" fontId="38" fillId="0" borderId="17" xfId="142" applyNumberFormat="1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2" fontId="39" fillId="0" borderId="18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8" fillId="24" borderId="13" xfId="0" applyFont="1" applyFill="1" applyBorder="1" applyAlignment="1">
      <alignment horizontal="center" vertical="center"/>
    </xf>
    <xf numFmtId="0" fontId="28" fillId="24" borderId="14" xfId="0" applyFont="1" applyFill="1" applyBorder="1" applyAlignment="1">
      <alignment horizontal="center" vertical="center"/>
    </xf>
    <xf numFmtId="0" fontId="28" fillId="24" borderId="15" xfId="0" applyFont="1" applyFill="1" applyBorder="1" applyAlignment="1">
      <alignment horizontal="center" vertical="center"/>
    </xf>
    <xf numFmtId="0" fontId="28" fillId="24" borderId="16" xfId="0" applyFont="1" applyFill="1" applyBorder="1" applyAlignment="1">
      <alignment horizontal="center" vertical="center"/>
    </xf>
    <xf numFmtId="0" fontId="28" fillId="24" borderId="17" xfId="0" applyFont="1" applyFill="1" applyBorder="1" applyAlignment="1">
      <alignment horizontal="center" vertical="center"/>
    </xf>
    <xf numFmtId="0" fontId="28" fillId="24" borderId="18" xfId="0" applyFont="1" applyFill="1" applyBorder="1" applyAlignment="1">
      <alignment horizontal="center" vertical="center"/>
    </xf>
    <xf numFmtId="0" fontId="28" fillId="24" borderId="19" xfId="0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horizontal="center" vertical="center" wrapText="1"/>
    </xf>
    <xf numFmtId="2" fontId="28" fillId="24" borderId="20" xfId="0" applyNumberFormat="1" applyFont="1" applyFill="1" applyBorder="1" applyAlignment="1">
      <alignment horizontal="center" vertical="center"/>
    </xf>
    <xf numFmtId="0" fontId="28" fillId="24" borderId="21" xfId="0" applyFont="1" applyFill="1" applyBorder="1" applyAlignment="1">
      <alignment horizontal="center" vertical="center"/>
    </xf>
    <xf numFmtId="0" fontId="28" fillId="24" borderId="22" xfId="0" applyFont="1" applyFill="1" applyBorder="1" applyAlignment="1">
      <alignment horizontal="center" vertical="center"/>
    </xf>
    <xf numFmtId="0" fontId="28" fillId="24" borderId="23" xfId="0" applyFont="1" applyFill="1" applyBorder="1" applyAlignment="1">
      <alignment horizontal="center" vertical="center"/>
    </xf>
    <xf numFmtId="0" fontId="28" fillId="24" borderId="14" xfId="0" applyFont="1" applyFill="1" applyBorder="1" applyAlignment="1">
      <alignment horizontal="right" vertical="center"/>
    </xf>
    <xf numFmtId="2" fontId="28" fillId="24" borderId="15" xfId="0" applyNumberFormat="1" applyFont="1" applyFill="1" applyBorder="1" applyAlignment="1">
      <alignment horizontal="center" vertical="center"/>
    </xf>
    <xf numFmtId="0" fontId="28" fillId="24" borderId="24" xfId="0" applyFont="1" applyFill="1" applyBorder="1" applyAlignment="1">
      <alignment vertical="center"/>
    </xf>
    <xf numFmtId="0" fontId="28" fillId="24" borderId="25" xfId="0" applyFont="1" applyFill="1" applyBorder="1" applyAlignment="1">
      <alignment horizontal="right" vertical="center"/>
    </xf>
    <xf numFmtId="2" fontId="28" fillId="24" borderId="26" xfId="0" applyNumberFormat="1" applyFont="1" applyFill="1" applyBorder="1" applyAlignment="1">
      <alignment horizontal="center" vertical="center"/>
    </xf>
    <xf numFmtId="0" fontId="28" fillId="24" borderId="27" xfId="0" applyFont="1" applyFill="1" applyBorder="1" applyAlignment="1">
      <alignment vertical="center"/>
    </xf>
    <xf numFmtId="0" fontId="28" fillId="24" borderId="28" xfId="0" applyFont="1" applyFill="1" applyBorder="1" applyAlignment="1">
      <alignment horizontal="right" vertical="center"/>
    </xf>
    <xf numFmtId="2" fontId="28" fillId="24" borderId="29" xfId="0" applyNumberFormat="1" applyFont="1" applyFill="1" applyBorder="1" applyAlignment="1">
      <alignment horizontal="center" vertical="center"/>
    </xf>
    <xf numFmtId="0" fontId="54" fillId="0" borderId="25" xfId="230" applyFont="1" applyBorder="1" applyAlignment="1">
      <alignment horizontal="center" vertical="center" wrapText="1"/>
    </xf>
    <xf numFmtId="2" fontId="54" fillId="0" borderId="20" xfId="0" applyNumberFormat="1" applyFont="1" applyBorder="1" applyAlignment="1">
      <alignment horizontal="center" vertical="center"/>
    </xf>
    <xf numFmtId="2" fontId="38" fillId="0" borderId="20" xfId="230" applyNumberFormat="1" applyFont="1" applyBorder="1" applyAlignment="1">
      <alignment horizontal="center" vertical="center"/>
    </xf>
    <xf numFmtId="0" fontId="54" fillId="0" borderId="10" xfId="230" applyFont="1" applyBorder="1" applyAlignment="1">
      <alignment horizontal="center" vertical="center" wrapText="1"/>
    </xf>
    <xf numFmtId="0" fontId="55" fillId="0" borderId="25" xfId="230" applyFont="1" applyBorder="1" applyAlignment="1">
      <alignment horizontal="center" vertical="center" wrapText="1"/>
    </xf>
    <xf numFmtId="0" fontId="56" fillId="0" borderId="25" xfId="230" applyFont="1" applyBorder="1" applyAlignment="1">
      <alignment horizontal="center" vertical="center" wrapText="1"/>
    </xf>
    <xf numFmtId="2" fontId="56" fillId="0" borderId="26" xfId="230" applyNumberFormat="1" applyFont="1" applyBorder="1" applyAlignment="1">
      <alignment horizontal="center" vertical="center"/>
    </xf>
    <xf numFmtId="0" fontId="56" fillId="0" borderId="10" xfId="230" applyFont="1" applyBorder="1" applyAlignment="1">
      <alignment horizontal="left" vertical="center" wrapText="1"/>
    </xf>
    <xf numFmtId="0" fontId="56" fillId="0" borderId="10" xfId="230" applyFont="1" applyBorder="1" applyAlignment="1">
      <alignment horizontal="center" vertical="center" wrapText="1"/>
    </xf>
    <xf numFmtId="2" fontId="55" fillId="0" borderId="20" xfId="23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left" vertical="center" wrapText="1"/>
    </xf>
    <xf numFmtId="0" fontId="56" fillId="0" borderId="10" xfId="0" applyFont="1" applyBorder="1" applyAlignment="1">
      <alignment horizontal="center" vertical="center"/>
    </xf>
    <xf numFmtId="2" fontId="55" fillId="0" borderId="20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" fontId="55" fillId="0" borderId="47" xfId="0" applyNumberFormat="1" applyFont="1" applyBorder="1" applyAlignment="1">
      <alignment horizontal="center" vertical="center"/>
    </xf>
    <xf numFmtId="0" fontId="55" fillId="0" borderId="17" xfId="230" applyFont="1" applyBorder="1" applyAlignment="1">
      <alignment horizontal="center" vertical="center" wrapText="1"/>
    </xf>
    <xf numFmtId="0" fontId="56" fillId="0" borderId="17" xfId="230" applyFont="1" applyBorder="1" applyAlignment="1">
      <alignment horizontal="center" vertical="center" wrapText="1"/>
    </xf>
    <xf numFmtId="2" fontId="56" fillId="0" borderId="18" xfId="230" applyNumberFormat="1" applyFont="1" applyBorder="1" applyAlignment="1">
      <alignment horizontal="center" vertical="center"/>
    </xf>
    <xf numFmtId="0" fontId="56" fillId="0" borderId="10" xfId="230" applyFont="1" applyBorder="1" applyAlignment="1">
      <alignment horizontal="right" vertical="center" wrapText="1"/>
    </xf>
    <xf numFmtId="0" fontId="55" fillId="0" borderId="25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2" fontId="55" fillId="0" borderId="38" xfId="230" applyNumberFormat="1" applyFont="1" applyBorder="1" applyAlignment="1">
      <alignment horizontal="center" vertical="center"/>
    </xf>
    <xf numFmtId="2" fontId="55" fillId="0" borderId="41" xfId="230" applyNumberFormat="1" applyFont="1" applyBorder="1" applyAlignment="1">
      <alignment horizontal="center" vertical="center"/>
    </xf>
    <xf numFmtId="168" fontId="55" fillId="0" borderId="41" xfId="230" applyNumberFormat="1" applyFont="1" applyBorder="1" applyAlignment="1">
      <alignment horizontal="center" vertical="center"/>
    </xf>
    <xf numFmtId="2" fontId="55" fillId="0" borderId="41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right" vertical="center" wrapText="1"/>
    </xf>
    <xf numFmtId="0" fontId="55" fillId="0" borderId="10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2" fontId="55" fillId="0" borderId="18" xfId="230" applyNumberFormat="1" applyFont="1" applyBorder="1" applyAlignment="1">
      <alignment horizontal="center" vertical="center"/>
    </xf>
    <xf numFmtId="2" fontId="55" fillId="0" borderId="60" xfId="0" applyNumberFormat="1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 wrapText="1"/>
    </xf>
    <xf numFmtId="0" fontId="56" fillId="0" borderId="25" xfId="0" applyFont="1" applyBorder="1" applyAlignment="1">
      <alignment vertical="center"/>
    </xf>
    <xf numFmtId="0" fontId="56" fillId="0" borderId="38" xfId="0" applyFont="1" applyBorder="1" applyAlignment="1">
      <alignment vertical="center"/>
    </xf>
    <xf numFmtId="0" fontId="56" fillId="0" borderId="22" xfId="230" applyFont="1" applyBorder="1" applyAlignment="1">
      <alignment horizontal="left" vertical="center" wrapText="1"/>
    </xf>
    <xf numFmtId="0" fontId="56" fillId="0" borderId="22" xfId="230" applyFont="1" applyBorder="1" applyAlignment="1">
      <alignment horizontal="center" vertical="center" wrapText="1"/>
    </xf>
    <xf numFmtId="0" fontId="56" fillId="0" borderId="10" xfId="0" applyFont="1" applyBorder="1" applyAlignment="1">
      <alignment vertical="center" wrapText="1"/>
    </xf>
    <xf numFmtId="0" fontId="55" fillId="0" borderId="10" xfId="0" applyFont="1" applyBorder="1" applyAlignment="1">
      <alignment horizontal="center" vertical="center"/>
    </xf>
    <xf numFmtId="0" fontId="56" fillId="0" borderId="41" xfId="0" applyFont="1" applyBorder="1" applyAlignment="1">
      <alignment vertical="center"/>
    </xf>
    <xf numFmtId="0" fontId="56" fillId="0" borderId="17" xfId="0" applyFont="1" applyBorder="1" applyAlignment="1">
      <alignment horizontal="center" vertical="center" wrapText="1"/>
    </xf>
    <xf numFmtId="0" fontId="56" fillId="0" borderId="18" xfId="0" applyFont="1" applyBorder="1" applyAlignment="1">
      <alignment horizontal="center" vertical="center" wrapText="1"/>
    </xf>
    <xf numFmtId="0" fontId="56" fillId="0" borderId="10" xfId="232" applyFont="1" applyBorder="1" applyAlignment="1">
      <alignment horizontal="left" vertical="center" wrapText="1"/>
    </xf>
    <xf numFmtId="0" fontId="56" fillId="0" borderId="10" xfId="232" applyFont="1" applyBorder="1" applyAlignment="1">
      <alignment horizontal="center" vertical="center" wrapText="1"/>
    </xf>
    <xf numFmtId="2" fontId="55" fillId="0" borderId="20" xfId="232" applyNumberFormat="1" applyFont="1" applyBorder="1" applyAlignment="1">
      <alignment horizontal="center" vertical="center" wrapText="1"/>
    </xf>
    <xf numFmtId="0" fontId="56" fillId="0" borderId="10" xfId="232" applyFont="1" applyBorder="1" applyAlignment="1">
      <alignment horizontal="right" vertical="center" wrapText="1"/>
    </xf>
    <xf numFmtId="0" fontId="55" fillId="0" borderId="10" xfId="232" applyFont="1" applyBorder="1" applyAlignment="1">
      <alignment horizontal="center" vertical="center" wrapText="1"/>
    </xf>
    <xf numFmtId="2" fontId="55" fillId="0" borderId="10" xfId="174" applyNumberFormat="1" applyFont="1" applyBorder="1" applyAlignment="1">
      <alignment horizontal="center" vertical="center" wrapText="1"/>
    </xf>
    <xf numFmtId="0" fontId="56" fillId="0" borderId="10" xfId="174" applyFont="1" applyBorder="1" applyAlignment="1">
      <alignment horizontal="center"/>
    </xf>
    <xf numFmtId="2" fontId="56" fillId="0" borderId="10" xfId="174" applyNumberFormat="1" applyFont="1" applyBorder="1" applyAlignment="1">
      <alignment horizontal="center" vertical="center"/>
    </xf>
    <xf numFmtId="2" fontId="55" fillId="0" borderId="41" xfId="232" applyNumberFormat="1" applyFont="1" applyBorder="1" applyAlignment="1">
      <alignment horizontal="center" vertical="center" wrapText="1"/>
    </xf>
    <xf numFmtId="2" fontId="56" fillId="0" borderId="18" xfId="0" applyNumberFormat="1" applyFont="1" applyBorder="1" applyAlignment="1">
      <alignment horizontal="center" vertical="center" wrapText="1"/>
    </xf>
    <xf numFmtId="0" fontId="58" fillId="0" borderId="25" xfId="0" applyFont="1" applyBorder="1" applyAlignment="1">
      <alignment horizontal="center" vertical="center" wrapText="1"/>
    </xf>
    <xf numFmtId="0" fontId="20" fillId="0" borderId="25" xfId="0" applyFont="1" applyBorder="1" applyAlignment="1">
      <alignment vertical="center"/>
    </xf>
    <xf numFmtId="0" fontId="20" fillId="0" borderId="38" xfId="0" applyFont="1" applyBorder="1" applyAlignment="1">
      <alignment vertical="center"/>
    </xf>
    <xf numFmtId="2" fontId="58" fillId="0" borderId="41" xfId="232" applyNumberFormat="1" applyFont="1" applyBorder="1" applyAlignment="1">
      <alignment horizontal="center" vertical="center"/>
    </xf>
    <xf numFmtId="0" fontId="58" fillId="0" borderId="10" xfId="232" applyFont="1" applyBorder="1" applyAlignment="1">
      <alignment horizontal="center" vertical="center" wrapText="1"/>
    </xf>
    <xf numFmtId="0" fontId="54" fillId="0" borderId="25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/>
    </xf>
    <xf numFmtId="0" fontId="38" fillId="0" borderId="26" xfId="0" applyFont="1" applyBorder="1" applyAlignment="1">
      <alignment vertical="center"/>
    </xf>
    <xf numFmtId="2" fontId="54" fillId="0" borderId="20" xfId="232" applyNumberFormat="1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0" fontId="38" fillId="0" borderId="25" xfId="0" applyFont="1" applyBorder="1" applyAlignment="1">
      <alignment vertical="center"/>
    </xf>
    <xf numFmtId="0" fontId="38" fillId="0" borderId="38" xfId="0" applyFont="1" applyBorder="1" applyAlignment="1">
      <alignment vertical="center"/>
    </xf>
    <xf numFmtId="2" fontId="54" fillId="0" borderId="10" xfId="0" applyNumberFormat="1" applyFont="1" applyBorder="1" applyAlignment="1">
      <alignment horizontal="center" vertical="center" wrapText="1"/>
    </xf>
    <xf numFmtId="2" fontId="55" fillId="0" borderId="38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/>
    </xf>
    <xf numFmtId="168" fontId="55" fillId="0" borderId="41" xfId="232" applyNumberFormat="1" applyFont="1" applyBorder="1" applyAlignment="1">
      <alignment horizontal="center" vertical="center" wrapText="1"/>
    </xf>
    <xf numFmtId="2" fontId="54" fillId="0" borderId="41" xfId="232" applyNumberFormat="1" applyFont="1" applyBorder="1" applyAlignment="1">
      <alignment horizontal="center" vertical="center"/>
    </xf>
    <xf numFmtId="0" fontId="54" fillId="0" borderId="10" xfId="232" applyFont="1" applyBorder="1" applyAlignment="1">
      <alignment horizontal="center" vertical="center" wrapText="1"/>
    </xf>
    <xf numFmtId="2" fontId="56" fillId="0" borderId="10" xfId="142" applyNumberFormat="1" applyFont="1" applyBorder="1" applyAlignment="1">
      <alignment vertical="center" wrapText="1"/>
    </xf>
    <xf numFmtId="2" fontId="56" fillId="0" borderId="10" xfId="142" applyNumberFormat="1" applyFont="1" applyBorder="1" applyAlignment="1">
      <alignment horizontal="center" vertical="center" wrapText="1"/>
    </xf>
    <xf numFmtId="2" fontId="55" fillId="0" borderId="20" xfId="142" applyNumberFormat="1" applyFont="1" applyBorder="1" applyAlignment="1">
      <alignment horizontal="center" vertical="center" wrapText="1"/>
    </xf>
    <xf numFmtId="2" fontId="56" fillId="0" borderId="10" xfId="142" applyNumberFormat="1" applyFont="1" applyBorder="1" applyAlignment="1">
      <alignment horizontal="right" vertical="center" wrapText="1"/>
    </xf>
    <xf numFmtId="169" fontId="55" fillId="0" borderId="20" xfId="142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31" fillId="0" borderId="0" xfId="142" applyFont="1" applyAlignment="1">
      <alignment horizontal="center" vertical="center" wrapText="1"/>
    </xf>
    <xf numFmtId="0" fontId="28" fillId="0" borderId="45" xfId="0" applyFont="1" applyBorder="1" applyAlignment="1">
      <alignment horizontal="right" vertical="center"/>
    </xf>
    <xf numFmtId="0" fontId="28" fillId="0" borderId="41" xfId="0" applyFont="1" applyBorder="1" applyAlignment="1">
      <alignment horizontal="left" vertical="center"/>
    </xf>
    <xf numFmtId="0" fontId="35" fillId="0" borderId="41" xfId="0" applyFont="1" applyBorder="1" applyAlignment="1">
      <alignment horizontal="center" vertical="center"/>
    </xf>
    <xf numFmtId="0" fontId="36" fillId="0" borderId="41" xfId="0" applyFont="1" applyBorder="1" applyAlignment="1">
      <alignment horizontal="left" vertical="center"/>
    </xf>
    <xf numFmtId="0" fontId="28" fillId="0" borderId="41" xfId="0" applyFont="1" applyBorder="1" applyAlignment="1">
      <alignment horizontal="left" vertical="center" wrapText="1"/>
    </xf>
    <xf numFmtId="0" fontId="34" fillId="0" borderId="32" xfId="232" applyFont="1" applyBorder="1" applyAlignment="1">
      <alignment horizontal="center" vertical="center" wrapText="1"/>
    </xf>
    <xf numFmtId="0" fontId="34" fillId="0" borderId="33" xfId="232" applyFont="1" applyBorder="1" applyAlignment="1">
      <alignment horizontal="center" vertical="center" wrapText="1"/>
    </xf>
    <xf numFmtId="0" fontId="34" fillId="0" borderId="34" xfId="232" applyFont="1" applyBorder="1" applyAlignment="1">
      <alignment horizontal="center" vertical="center" wrapText="1"/>
    </xf>
    <xf numFmtId="0" fontId="35" fillId="0" borderId="38" xfId="0" applyFont="1" applyBorder="1" applyAlignment="1">
      <alignment horizontal="center" vertical="center"/>
    </xf>
    <xf numFmtId="0" fontId="35" fillId="0" borderId="64" xfId="0" applyFont="1" applyBorder="1" applyAlignment="1">
      <alignment horizontal="center" vertical="center" wrapText="1"/>
    </xf>
    <xf numFmtId="0" fontId="35" fillId="0" borderId="65" xfId="0" applyFont="1" applyBorder="1" applyAlignment="1">
      <alignment horizontal="center" vertical="center" wrapText="1"/>
    </xf>
    <xf numFmtId="0" fontId="35" fillId="0" borderId="63" xfId="0" applyFont="1" applyBorder="1" applyAlignment="1">
      <alignment horizontal="center" vertical="center" wrapText="1"/>
    </xf>
    <xf numFmtId="0" fontId="34" fillId="0" borderId="35" xfId="232" applyFont="1" applyBorder="1" applyAlignment="1">
      <alignment horizontal="center" vertical="center" wrapText="1"/>
    </xf>
    <xf numFmtId="0" fontId="34" fillId="0" borderId="31" xfId="232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67" fontId="34" fillId="0" borderId="39" xfId="232" applyNumberFormat="1" applyFont="1" applyBorder="1" applyAlignment="1">
      <alignment horizontal="center" vertical="center"/>
    </xf>
    <xf numFmtId="167" fontId="34" fillId="0" borderId="49" xfId="232" applyNumberFormat="1" applyFont="1" applyBorder="1" applyAlignment="1">
      <alignment horizontal="center" vertical="center" wrapText="1" shrinkToFit="1"/>
    </xf>
    <xf numFmtId="0" fontId="28" fillId="0" borderId="15" xfId="0" applyFont="1" applyBorder="1" applyAlignment="1">
      <alignment horizontal="right" vertical="center"/>
    </xf>
    <xf numFmtId="1" fontId="34" fillId="0" borderId="24" xfId="232" applyNumberFormat="1" applyFont="1" applyBorder="1" applyAlignment="1">
      <alignment horizontal="center" vertical="center" textRotation="90" wrapText="1" shrinkToFit="1"/>
    </xf>
    <xf numFmtId="1" fontId="34" fillId="0" borderId="25" xfId="232" applyNumberFormat="1" applyFont="1" applyBorder="1" applyAlignment="1">
      <alignment horizontal="center" vertical="center" textRotation="90" wrapText="1" shrinkToFit="1"/>
    </xf>
    <xf numFmtId="167" fontId="34" fillId="0" borderId="25" xfId="232" applyNumberFormat="1" applyFont="1" applyBorder="1" applyAlignment="1">
      <alignment horizontal="center" vertical="center" wrapText="1" shrinkToFit="1"/>
    </xf>
    <xf numFmtId="167" fontId="34" fillId="0" borderId="25" xfId="232" applyNumberFormat="1" applyFont="1" applyBorder="1" applyAlignment="1">
      <alignment horizontal="center" vertical="center" textRotation="90" wrapText="1" shrinkToFit="1"/>
    </xf>
    <xf numFmtId="2" fontId="34" fillId="0" borderId="26" xfId="232" applyNumberFormat="1" applyFont="1" applyBorder="1" applyAlignment="1">
      <alignment horizontal="center" vertical="center" textRotation="90" wrapText="1" shrinkToFit="1"/>
    </xf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28" fillId="0" borderId="56" xfId="0" applyFont="1" applyBorder="1" applyAlignment="1">
      <alignment horizontal="right" vertical="center"/>
    </xf>
    <xf numFmtId="2" fontId="34" fillId="0" borderId="38" xfId="232" applyNumberFormat="1" applyFont="1" applyBorder="1" applyAlignment="1">
      <alignment horizontal="center" vertical="center" textRotation="90" wrapText="1" shrinkToFit="1"/>
    </xf>
    <xf numFmtId="167" fontId="20" fillId="0" borderId="39" xfId="232" applyNumberFormat="1" applyFont="1" applyBorder="1" applyAlignment="1">
      <alignment horizontal="center" vertical="center"/>
    </xf>
    <xf numFmtId="167" fontId="20" fillId="0" borderId="49" xfId="232" applyNumberFormat="1" applyFont="1" applyBorder="1" applyAlignment="1">
      <alignment horizontal="center" vertical="center" wrapText="1" shrinkToFit="1"/>
    </xf>
    <xf numFmtId="0" fontId="36" fillId="0" borderId="15" xfId="0" applyFont="1" applyBorder="1" applyAlignment="1">
      <alignment horizontal="right" vertical="center"/>
    </xf>
    <xf numFmtId="1" fontId="20" fillId="0" borderId="24" xfId="232" applyNumberFormat="1" applyFont="1" applyBorder="1" applyAlignment="1">
      <alignment horizontal="center" vertical="center" textRotation="90" wrapText="1" shrinkToFit="1"/>
    </xf>
    <xf numFmtId="1" fontId="20" fillId="0" borderId="25" xfId="232" applyNumberFormat="1" applyFont="1" applyBorder="1" applyAlignment="1">
      <alignment horizontal="center" vertical="center" textRotation="90" wrapText="1" shrinkToFit="1"/>
    </xf>
    <xf numFmtId="167" fontId="20" fillId="0" borderId="25" xfId="232" applyNumberFormat="1" applyFont="1" applyBorder="1" applyAlignment="1">
      <alignment horizontal="center" vertical="center" wrapText="1" shrinkToFit="1"/>
    </xf>
    <xf numFmtId="167" fontId="20" fillId="0" borderId="25" xfId="232" applyNumberFormat="1" applyFont="1" applyBorder="1" applyAlignment="1">
      <alignment horizontal="center" vertical="center" textRotation="90" wrapText="1" shrinkToFit="1"/>
    </xf>
    <xf numFmtId="2" fontId="20" fillId="0" borderId="38" xfId="232" applyNumberFormat="1" applyFont="1" applyBorder="1" applyAlignment="1">
      <alignment horizontal="center" vertical="center" textRotation="90" wrapText="1" shrinkToFit="1"/>
    </xf>
    <xf numFmtId="0" fontId="36" fillId="0" borderId="0" xfId="0" applyFont="1" applyAlignment="1">
      <alignment horizontal="right"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11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167" fontId="38" fillId="0" borderId="39" xfId="232" applyNumberFormat="1" applyFont="1" applyBorder="1" applyAlignment="1">
      <alignment horizontal="center" vertical="center"/>
    </xf>
    <xf numFmtId="167" fontId="38" fillId="0" borderId="49" xfId="232" applyNumberFormat="1" applyFont="1" applyBorder="1" applyAlignment="1">
      <alignment horizontal="center" vertical="center" wrapText="1" shrinkToFit="1"/>
    </xf>
    <xf numFmtId="0" fontId="41" fillId="0" borderId="56" xfId="0" applyFont="1" applyBorder="1" applyAlignment="1">
      <alignment horizontal="right" vertical="center"/>
    </xf>
    <xf numFmtId="1" fontId="38" fillId="0" borderId="24" xfId="232" applyNumberFormat="1" applyFont="1" applyBorder="1" applyAlignment="1">
      <alignment horizontal="center" vertical="center" textRotation="90" wrapText="1" shrinkToFit="1"/>
    </xf>
    <xf numFmtId="1" fontId="38" fillId="0" borderId="25" xfId="232" applyNumberFormat="1" applyFont="1" applyBorder="1" applyAlignment="1">
      <alignment horizontal="center" vertical="center" textRotation="90" wrapText="1" shrinkToFit="1"/>
    </xf>
    <xf numFmtId="167" fontId="38" fillId="0" borderId="25" xfId="232" applyNumberFormat="1" applyFont="1" applyBorder="1" applyAlignment="1">
      <alignment horizontal="center" vertical="center" wrapText="1" shrinkToFit="1"/>
    </xf>
    <xf numFmtId="167" fontId="38" fillId="0" borderId="25" xfId="232" applyNumberFormat="1" applyFont="1" applyBorder="1" applyAlignment="1">
      <alignment horizontal="center" vertical="center" textRotation="90" wrapText="1" shrinkToFit="1"/>
    </xf>
    <xf numFmtId="2" fontId="38" fillId="0" borderId="38" xfId="232" applyNumberFormat="1" applyFont="1" applyBorder="1" applyAlignment="1">
      <alignment horizontal="center" vertical="center" textRotation="90" wrapText="1" shrinkToFit="1"/>
    </xf>
    <xf numFmtId="0" fontId="41" fillId="0" borderId="0" xfId="0" applyFont="1" applyAlignment="1">
      <alignment horizontal="right" vertic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0" borderId="0" xfId="0" applyFont="1" applyAlignment="1">
      <alignment horizontal="right" vertical="center"/>
    </xf>
    <xf numFmtId="0" fontId="41" fillId="0" borderId="11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15" xfId="0" applyFont="1" applyBorder="1" applyAlignment="1">
      <alignment horizontal="right" vertical="center"/>
    </xf>
  </cellXfs>
  <cellStyles count="233">
    <cellStyle name="1. izcēlums" xfId="1" xr:uid="{00000000-0005-0000-0000-000000000000}"/>
    <cellStyle name="1. izcēlums 2" xfId="2" xr:uid="{00000000-0005-0000-0000-000001000000}"/>
    <cellStyle name="1. izcēlums 3" xfId="3" xr:uid="{00000000-0005-0000-0000-000002000000}"/>
    <cellStyle name="2. izcēlums" xfId="4" xr:uid="{00000000-0005-0000-0000-000003000000}"/>
    <cellStyle name="20% - Accent1 2" xfId="5" xr:uid="{00000000-0005-0000-0000-000004000000}"/>
    <cellStyle name="20% - Accent2 2" xfId="6" xr:uid="{00000000-0005-0000-0000-000005000000}"/>
    <cellStyle name="20% - Accent3 2" xfId="7" xr:uid="{00000000-0005-0000-0000-000006000000}"/>
    <cellStyle name="20% - Accent4 2" xfId="8" xr:uid="{00000000-0005-0000-0000-000007000000}"/>
    <cellStyle name="20% - Accent5 2" xfId="9" xr:uid="{00000000-0005-0000-0000-000008000000}"/>
    <cellStyle name="20% - Accent6 2" xfId="10" xr:uid="{00000000-0005-0000-0000-000009000000}"/>
    <cellStyle name="20% – rõhk1" xfId="17" xr:uid="{00000000-0005-0000-0000-00000A000000}"/>
    <cellStyle name="20% – rõhk2" xfId="18" xr:uid="{00000000-0005-0000-0000-00000B000000}"/>
    <cellStyle name="20% – rõhk3" xfId="19" xr:uid="{00000000-0005-0000-0000-00000C000000}"/>
    <cellStyle name="20% – rõhk4" xfId="20" xr:uid="{00000000-0005-0000-0000-00000D000000}"/>
    <cellStyle name="20% – rõhk5" xfId="21" xr:uid="{00000000-0005-0000-0000-00000E000000}"/>
    <cellStyle name="20% – rõhk6" xfId="22" xr:uid="{00000000-0005-0000-0000-00000F000000}"/>
    <cellStyle name="20% no 1. izcēluma" xfId="11" xr:uid="{00000000-0005-0000-0000-000010000000}"/>
    <cellStyle name="20% no 2. izcēluma" xfId="12" xr:uid="{00000000-0005-0000-0000-000011000000}"/>
    <cellStyle name="20% no 3. izcēluma" xfId="13" xr:uid="{00000000-0005-0000-0000-000012000000}"/>
    <cellStyle name="20% no 4. izcēluma" xfId="14" xr:uid="{00000000-0005-0000-0000-000013000000}"/>
    <cellStyle name="20% no 5. izcēluma" xfId="15" xr:uid="{00000000-0005-0000-0000-000014000000}"/>
    <cellStyle name="20% no 6. izcēluma" xfId="16" xr:uid="{00000000-0005-0000-0000-000015000000}"/>
    <cellStyle name="3. izcēlums " xfId="23" xr:uid="{00000000-0005-0000-0000-000016000000}"/>
    <cellStyle name="4. izcēlums" xfId="24" xr:uid="{00000000-0005-0000-0000-000017000000}"/>
    <cellStyle name="40% - Accent1 2" xfId="25" xr:uid="{00000000-0005-0000-0000-000018000000}"/>
    <cellStyle name="40% - Accent2 2" xfId="26" xr:uid="{00000000-0005-0000-0000-000019000000}"/>
    <cellStyle name="40% - Accent3 2" xfId="27" xr:uid="{00000000-0005-0000-0000-00001A000000}"/>
    <cellStyle name="40% - Accent4 2" xfId="28" xr:uid="{00000000-0005-0000-0000-00001B000000}"/>
    <cellStyle name="40% - Accent5 2" xfId="29" xr:uid="{00000000-0005-0000-0000-00001C000000}"/>
    <cellStyle name="40% - Accent6 2" xfId="30" xr:uid="{00000000-0005-0000-0000-00001D000000}"/>
    <cellStyle name="40% – rõhk1" xfId="37" xr:uid="{00000000-0005-0000-0000-00001E000000}"/>
    <cellStyle name="40% – rõhk2" xfId="38" xr:uid="{00000000-0005-0000-0000-00001F000000}"/>
    <cellStyle name="40% – rõhk3" xfId="39" xr:uid="{00000000-0005-0000-0000-000020000000}"/>
    <cellStyle name="40% – rõhk4" xfId="40" xr:uid="{00000000-0005-0000-0000-000021000000}"/>
    <cellStyle name="40% – rõhk5" xfId="41" xr:uid="{00000000-0005-0000-0000-000022000000}"/>
    <cellStyle name="40% – rõhk6" xfId="42" xr:uid="{00000000-0005-0000-0000-000023000000}"/>
    <cellStyle name="40% no 1. izcēluma" xfId="31" xr:uid="{00000000-0005-0000-0000-000024000000}"/>
    <cellStyle name="40% no 2. izcēluma" xfId="32" xr:uid="{00000000-0005-0000-0000-000025000000}"/>
    <cellStyle name="40% no 3. izcēluma" xfId="33" xr:uid="{00000000-0005-0000-0000-000026000000}"/>
    <cellStyle name="40% no 4. izcēluma" xfId="34" xr:uid="{00000000-0005-0000-0000-000027000000}"/>
    <cellStyle name="40% no 5. izcēluma" xfId="35" xr:uid="{00000000-0005-0000-0000-000028000000}"/>
    <cellStyle name="40% no 6. izcēluma" xfId="36" xr:uid="{00000000-0005-0000-0000-000029000000}"/>
    <cellStyle name="5. izcēlums" xfId="43" xr:uid="{00000000-0005-0000-0000-00002A000000}"/>
    <cellStyle name="6. izcēlums" xfId="44" xr:uid="{00000000-0005-0000-0000-00002B000000}"/>
    <cellStyle name="60% - Accent1 2" xfId="45" xr:uid="{00000000-0005-0000-0000-00002C000000}"/>
    <cellStyle name="60% - Accent2 2" xfId="46" xr:uid="{00000000-0005-0000-0000-00002D000000}"/>
    <cellStyle name="60% - Accent3 2" xfId="47" xr:uid="{00000000-0005-0000-0000-00002E000000}"/>
    <cellStyle name="60% - Accent4 2" xfId="48" xr:uid="{00000000-0005-0000-0000-00002F000000}"/>
    <cellStyle name="60% - Accent5 2" xfId="49" xr:uid="{00000000-0005-0000-0000-000030000000}"/>
    <cellStyle name="60% - Accent6 2" xfId="50" xr:uid="{00000000-0005-0000-0000-000031000000}"/>
    <cellStyle name="60% – rõhk1" xfId="57" xr:uid="{00000000-0005-0000-0000-000032000000}"/>
    <cellStyle name="60% – rõhk2" xfId="58" xr:uid="{00000000-0005-0000-0000-000033000000}"/>
    <cellStyle name="60% – rõhk3" xfId="59" xr:uid="{00000000-0005-0000-0000-000034000000}"/>
    <cellStyle name="60% – rõhk4" xfId="60" xr:uid="{00000000-0005-0000-0000-000035000000}"/>
    <cellStyle name="60% – rõhk5" xfId="61" xr:uid="{00000000-0005-0000-0000-000036000000}"/>
    <cellStyle name="60% – rõhk6" xfId="62" xr:uid="{00000000-0005-0000-0000-000037000000}"/>
    <cellStyle name="60% no 1. izcēluma" xfId="51" xr:uid="{00000000-0005-0000-0000-000038000000}"/>
    <cellStyle name="60% no 2. izcēluma" xfId="52" xr:uid="{00000000-0005-0000-0000-000039000000}"/>
    <cellStyle name="60% no 3. izcēluma" xfId="53" xr:uid="{00000000-0005-0000-0000-00003A000000}"/>
    <cellStyle name="60% no 4. izcēluma" xfId="54" xr:uid="{00000000-0005-0000-0000-00003B000000}"/>
    <cellStyle name="60% no 5. izcēluma" xfId="55" xr:uid="{00000000-0005-0000-0000-00003C000000}"/>
    <cellStyle name="60% no 6. izcēluma" xfId="56" xr:uid="{00000000-0005-0000-0000-00003D000000}"/>
    <cellStyle name="Accent1 2" xfId="63" xr:uid="{00000000-0005-0000-0000-00003E000000}"/>
    <cellStyle name="Accent1 2 2" xfId="64" xr:uid="{00000000-0005-0000-0000-00003F000000}"/>
    <cellStyle name="Accent2 2" xfId="65" xr:uid="{00000000-0005-0000-0000-000040000000}"/>
    <cellStyle name="Accent2 2 2" xfId="66" xr:uid="{00000000-0005-0000-0000-000041000000}"/>
    <cellStyle name="Accent3 2" xfId="67" xr:uid="{00000000-0005-0000-0000-000042000000}"/>
    <cellStyle name="Accent4 2" xfId="68" xr:uid="{00000000-0005-0000-0000-000043000000}"/>
    <cellStyle name="Accent5 2" xfId="69" xr:uid="{00000000-0005-0000-0000-000044000000}"/>
    <cellStyle name="Accent6 2" xfId="70" xr:uid="{00000000-0005-0000-0000-000045000000}"/>
    <cellStyle name="Aprēķināšana" xfId="71" xr:uid="{00000000-0005-0000-0000-000046000000}"/>
    <cellStyle name="Aprēķināšana 2" xfId="72" xr:uid="{00000000-0005-0000-0000-000047000000}"/>
    <cellStyle name="Aprēķināšana 2 2" xfId="73" xr:uid="{00000000-0005-0000-0000-000048000000}"/>
    <cellStyle name="Aprēķināšana 3" xfId="74" xr:uid="{00000000-0005-0000-0000-000049000000}"/>
    <cellStyle name="Arvutus" xfId="75" xr:uid="{00000000-0005-0000-0000-00004A000000}"/>
    <cellStyle name="Bad 2" xfId="76" xr:uid="{00000000-0005-0000-0000-00004B000000}"/>
    <cellStyle name="Brīdinājuma teksts" xfId="77" xr:uid="{00000000-0005-0000-0000-00004C000000}"/>
    <cellStyle name="Brīdinājuma teksts 2" xfId="78" xr:uid="{00000000-0005-0000-0000-00004D000000}"/>
    <cellStyle name="Brīdinājuma teksts 2 2" xfId="79" xr:uid="{00000000-0005-0000-0000-00004E000000}"/>
    <cellStyle name="Brīdinājuma teksts 3" xfId="80" xr:uid="{00000000-0005-0000-0000-00004F000000}"/>
    <cellStyle name="Calculation 2" xfId="81" xr:uid="{00000000-0005-0000-0000-000050000000}"/>
    <cellStyle name="Calculation 3" xfId="82" xr:uid="{00000000-0005-0000-0000-000051000000}"/>
    <cellStyle name="Calculation 4" xfId="83" xr:uid="{00000000-0005-0000-0000-000052000000}"/>
    <cellStyle name="Check Cell 2" xfId="84" xr:uid="{00000000-0005-0000-0000-000053000000}"/>
    <cellStyle name="Comma 3" xfId="85" xr:uid="{00000000-0005-0000-0000-000054000000}"/>
    <cellStyle name="Currency 2" xfId="86" xr:uid="{00000000-0005-0000-0000-000055000000}"/>
    <cellStyle name="Excel Built-in Normal" xfId="232" xr:uid="{00000000-0005-0000-0000-000056000000}"/>
    <cellStyle name="Explanatory Text 2" xfId="87" xr:uid="{00000000-0005-0000-0000-000057000000}"/>
    <cellStyle name="Explanatory Text 2 2" xfId="88" xr:uid="{00000000-0005-0000-0000-000058000000}"/>
    <cellStyle name="Good 2" xfId="89" xr:uid="{00000000-0005-0000-0000-000059000000}"/>
    <cellStyle name="Halb" xfId="90" xr:uid="{00000000-0005-0000-0000-00005A000000}"/>
    <cellStyle name="Hea" xfId="91" xr:uid="{00000000-0005-0000-0000-00005B000000}"/>
    <cellStyle name="Heading 1 2" xfId="92" xr:uid="{00000000-0005-0000-0000-00005C000000}"/>
    <cellStyle name="Heading 2 2" xfId="93" xr:uid="{00000000-0005-0000-0000-00005D000000}"/>
    <cellStyle name="Heading 3 2" xfId="94" xr:uid="{00000000-0005-0000-0000-00005E000000}"/>
    <cellStyle name="Heading 4 2" xfId="95" xr:uid="{00000000-0005-0000-0000-00005F000000}"/>
    <cellStyle name="Hipersaite 2" xfId="96" xr:uid="{00000000-0005-0000-0000-000060000000}"/>
    <cellStyle name="Hipersaite 3" xfId="97" xr:uid="{00000000-0005-0000-0000-000061000000}"/>
    <cellStyle name="Hoiatustekst" xfId="98" xr:uid="{00000000-0005-0000-0000-000062000000}"/>
    <cellStyle name="Ievade" xfId="99" xr:uid="{00000000-0005-0000-0000-000063000000}"/>
    <cellStyle name="Ievade 2" xfId="100" xr:uid="{00000000-0005-0000-0000-000064000000}"/>
    <cellStyle name="Ievade 2 2" xfId="101" xr:uid="{00000000-0005-0000-0000-000065000000}"/>
    <cellStyle name="Ievade 3" xfId="102" xr:uid="{00000000-0005-0000-0000-000066000000}"/>
    <cellStyle name="Input 2" xfId="103" xr:uid="{00000000-0005-0000-0000-000067000000}"/>
    <cellStyle name="Input 3" xfId="104" xr:uid="{00000000-0005-0000-0000-000068000000}"/>
    <cellStyle name="Input 4" xfId="105" xr:uid="{00000000-0005-0000-0000-000069000000}"/>
    <cellStyle name="Izvade" xfId="106" xr:uid="{00000000-0005-0000-0000-00006A000000}"/>
    <cellStyle name="Izvade 2" xfId="107" xr:uid="{00000000-0005-0000-0000-00006B000000}"/>
    <cellStyle name="Izvade 2 2" xfId="108" xr:uid="{00000000-0005-0000-0000-00006C000000}"/>
    <cellStyle name="Izvade 3" xfId="109" xr:uid="{00000000-0005-0000-0000-00006D000000}"/>
    <cellStyle name="Kokku" xfId="110" xr:uid="{00000000-0005-0000-0000-00006E000000}"/>
    <cellStyle name="Komats 2" xfId="111" xr:uid="{00000000-0005-0000-0000-00006F000000}"/>
    <cellStyle name="Komats 3" xfId="112" xr:uid="{00000000-0005-0000-0000-000070000000}"/>
    <cellStyle name="Kontrolli lahtrit" xfId="113" xr:uid="{00000000-0005-0000-0000-000071000000}"/>
    <cellStyle name="Kopsumma" xfId="114" xr:uid="{00000000-0005-0000-0000-000072000000}"/>
    <cellStyle name="Kopsumma 2" xfId="115" xr:uid="{00000000-0005-0000-0000-000073000000}"/>
    <cellStyle name="Kopsumma 2 2" xfId="116" xr:uid="{00000000-0005-0000-0000-000074000000}"/>
    <cellStyle name="Kopsumma 3" xfId="117" xr:uid="{00000000-0005-0000-0000-000075000000}"/>
    <cellStyle name="Lingitud lahter" xfId="118" xr:uid="{00000000-0005-0000-0000-000076000000}"/>
    <cellStyle name="Linked Cell 2" xfId="119" xr:uid="{00000000-0005-0000-0000-000077000000}"/>
    <cellStyle name="Märkus" xfId="120" xr:uid="{00000000-0005-0000-0000-000078000000}"/>
    <cellStyle name="Neitrāls" xfId="121" xr:uid="{00000000-0005-0000-0000-000079000000}"/>
    <cellStyle name="Neitrāls 2" xfId="122" xr:uid="{00000000-0005-0000-0000-00007A000000}"/>
    <cellStyle name="Neitrāls 2 2" xfId="123" xr:uid="{00000000-0005-0000-0000-00007B000000}"/>
    <cellStyle name="Neitrāls 3" xfId="124" xr:uid="{00000000-0005-0000-0000-00007C000000}"/>
    <cellStyle name="Neutraalne" xfId="125" xr:uid="{00000000-0005-0000-0000-00007D000000}"/>
    <cellStyle name="Neutral 2" xfId="126" xr:uid="{00000000-0005-0000-0000-00007E000000}"/>
    <cellStyle name="Neutral 3" xfId="127" xr:uid="{00000000-0005-0000-0000-00007F000000}"/>
    <cellStyle name="Neutral 4" xfId="128" xr:uid="{00000000-0005-0000-0000-000080000000}"/>
    <cellStyle name="Normaallaad 2" xfId="129" xr:uid="{00000000-0005-0000-0000-000081000000}"/>
    <cellStyle name="Normal" xfId="0" builtinId="0"/>
    <cellStyle name="Normal 10" xfId="130" xr:uid="{00000000-0005-0000-0000-000082000000}"/>
    <cellStyle name="Normal 10 10" xfId="131" xr:uid="{00000000-0005-0000-0000-000083000000}"/>
    <cellStyle name="Normal 10 2" xfId="132" xr:uid="{00000000-0005-0000-0000-000084000000}"/>
    <cellStyle name="Normal 11" xfId="133" xr:uid="{00000000-0005-0000-0000-000085000000}"/>
    <cellStyle name="Normal 11 7 2" xfId="134" xr:uid="{00000000-0005-0000-0000-000086000000}"/>
    <cellStyle name="Normal 12 2" xfId="135" xr:uid="{00000000-0005-0000-0000-000087000000}"/>
    <cellStyle name="Normal 12 3" xfId="136" xr:uid="{00000000-0005-0000-0000-000088000000}"/>
    <cellStyle name="Normal 13" xfId="137" xr:uid="{00000000-0005-0000-0000-000089000000}"/>
    <cellStyle name="Normal 14" xfId="138" xr:uid="{00000000-0005-0000-0000-00008A000000}"/>
    <cellStyle name="Normal 15" xfId="139" xr:uid="{00000000-0005-0000-0000-00008B000000}"/>
    <cellStyle name="Normal 18" xfId="140" xr:uid="{00000000-0005-0000-0000-00008C000000}"/>
    <cellStyle name="Normal 19" xfId="141" xr:uid="{00000000-0005-0000-0000-00008D000000}"/>
    <cellStyle name="Normal 2" xfId="142" xr:uid="{00000000-0005-0000-0000-00008E000000}"/>
    <cellStyle name="Normal 2 10 2 2" xfId="143" xr:uid="{00000000-0005-0000-0000-00008F000000}"/>
    <cellStyle name="Normal 2 15" xfId="144" xr:uid="{00000000-0005-0000-0000-000090000000}"/>
    <cellStyle name="Normal 2 2" xfId="145" xr:uid="{00000000-0005-0000-0000-000091000000}"/>
    <cellStyle name="Normal 2 2 2" xfId="146" xr:uid="{00000000-0005-0000-0000-000092000000}"/>
    <cellStyle name="Normal 2 2 3" xfId="147" xr:uid="{00000000-0005-0000-0000-000093000000}"/>
    <cellStyle name="Normal 2 3" xfId="148" xr:uid="{00000000-0005-0000-0000-000094000000}"/>
    <cellStyle name="Normal 2 4" xfId="149" xr:uid="{00000000-0005-0000-0000-000095000000}"/>
    <cellStyle name="Normal 2 5" xfId="150" xr:uid="{00000000-0005-0000-0000-000096000000}"/>
    <cellStyle name="Normal 2_U1" xfId="153" xr:uid="{00000000-0005-0000-0000-000097000000}"/>
    <cellStyle name="Normal 24" xfId="151" xr:uid="{00000000-0005-0000-0000-000098000000}"/>
    <cellStyle name="Normal 28" xfId="152" xr:uid="{00000000-0005-0000-0000-000099000000}"/>
    <cellStyle name="Normal 3" xfId="154" xr:uid="{00000000-0005-0000-0000-00009A000000}"/>
    <cellStyle name="Normal 3 2" xfId="155" xr:uid="{00000000-0005-0000-0000-00009B000000}"/>
    <cellStyle name="Normal 3 3" xfId="156" xr:uid="{00000000-0005-0000-0000-00009C000000}"/>
    <cellStyle name="Normal 3 3 2" xfId="157" xr:uid="{00000000-0005-0000-0000-00009D000000}"/>
    <cellStyle name="Normal 3 4" xfId="158" xr:uid="{00000000-0005-0000-0000-00009E000000}"/>
    <cellStyle name="Normal 3 5" xfId="159" xr:uid="{00000000-0005-0000-0000-00009F000000}"/>
    <cellStyle name="Normal 34" xfId="160" xr:uid="{00000000-0005-0000-0000-0000A0000000}"/>
    <cellStyle name="Normal 35" xfId="161" xr:uid="{00000000-0005-0000-0000-0000A1000000}"/>
    <cellStyle name="Normal 37" xfId="162" xr:uid="{00000000-0005-0000-0000-0000A2000000}"/>
    <cellStyle name="Normal 4" xfId="163" xr:uid="{00000000-0005-0000-0000-0000A3000000}"/>
    <cellStyle name="Normal 4 2" xfId="164" xr:uid="{00000000-0005-0000-0000-0000A4000000}"/>
    <cellStyle name="Normal 45 2" xfId="165" xr:uid="{00000000-0005-0000-0000-0000A5000000}"/>
    <cellStyle name="Normal 46 2" xfId="166" xr:uid="{00000000-0005-0000-0000-0000A6000000}"/>
    <cellStyle name="Normal 5" xfId="167" xr:uid="{00000000-0005-0000-0000-0000A7000000}"/>
    <cellStyle name="Normal 5 2 2" xfId="168" xr:uid="{00000000-0005-0000-0000-0000A8000000}"/>
    <cellStyle name="Normal 6" xfId="169" xr:uid="{00000000-0005-0000-0000-0000A9000000}"/>
    <cellStyle name="Normal 7" xfId="170" xr:uid="{00000000-0005-0000-0000-0000AA000000}"/>
    <cellStyle name="Normal 8" xfId="171" xr:uid="{00000000-0005-0000-0000-0000AB000000}"/>
    <cellStyle name="Normal 9" xfId="172" xr:uid="{00000000-0005-0000-0000-0000AC000000}"/>
    <cellStyle name="Normal 9 2" xfId="173" xr:uid="{00000000-0005-0000-0000-0000AD000000}"/>
    <cellStyle name="Normal_RS_spec_vent_17.05" xfId="174" xr:uid="{00000000-0005-0000-0000-0000AE000000}"/>
    <cellStyle name="Nosaukums" xfId="175" xr:uid="{00000000-0005-0000-0000-0000AF000000}"/>
    <cellStyle name="Nosaukums 2" xfId="176" xr:uid="{00000000-0005-0000-0000-0000B0000000}"/>
    <cellStyle name="Nosaukums 2 2" xfId="177" xr:uid="{00000000-0005-0000-0000-0000B1000000}"/>
    <cellStyle name="Nosaukums 3" xfId="178" xr:uid="{00000000-0005-0000-0000-0000B2000000}"/>
    <cellStyle name="Note 2" xfId="179" xr:uid="{00000000-0005-0000-0000-0000B3000000}"/>
    <cellStyle name="Note 2 2" xfId="180" xr:uid="{00000000-0005-0000-0000-0000B4000000}"/>
    <cellStyle name="Note 2 3" xfId="181" xr:uid="{00000000-0005-0000-0000-0000B5000000}"/>
    <cellStyle name="Output 2" xfId="182" xr:uid="{00000000-0005-0000-0000-0000B6000000}"/>
    <cellStyle name="Output 2 2" xfId="183" xr:uid="{00000000-0005-0000-0000-0000B7000000}"/>
    <cellStyle name="Output 3" xfId="184" xr:uid="{00000000-0005-0000-0000-0000B8000000}"/>
    <cellStyle name="Output 4" xfId="185" xr:uid="{00000000-0005-0000-0000-0000B9000000}"/>
    <cellStyle name="Output 5" xfId="186" xr:uid="{00000000-0005-0000-0000-0000BA000000}"/>
    <cellStyle name="Parastais 3" xfId="187" xr:uid="{00000000-0005-0000-0000-0000BB000000}"/>
    <cellStyle name="Parastais_Pērses iela, Baldone, Zvārdes, Mārupe" xfId="188" xr:uid="{00000000-0005-0000-0000-0000BC000000}"/>
    <cellStyle name="Parasts 2" xfId="189" xr:uid="{00000000-0005-0000-0000-0000BD000000}"/>
    <cellStyle name="Parasts 2 2" xfId="190" xr:uid="{00000000-0005-0000-0000-0000BE000000}"/>
    <cellStyle name="Parasts 2 2 2" xfId="191" xr:uid="{00000000-0005-0000-0000-0000BF000000}"/>
    <cellStyle name="Parasts 3" xfId="192" xr:uid="{00000000-0005-0000-0000-0000C0000000}"/>
    <cellStyle name="Parasts 3 2" xfId="193" xr:uid="{00000000-0005-0000-0000-0000C1000000}"/>
    <cellStyle name="Parasts 4" xfId="194" xr:uid="{00000000-0005-0000-0000-0000C2000000}"/>
    <cellStyle name="Parasts 5" xfId="195" xr:uid="{00000000-0005-0000-0000-0000C3000000}"/>
    <cellStyle name="Parasts 6" xfId="196" xr:uid="{00000000-0005-0000-0000-0000C4000000}"/>
    <cellStyle name="Parasts 7" xfId="197" xr:uid="{00000000-0005-0000-0000-0000C5000000}"/>
    <cellStyle name="Pealkiri" xfId="198" xr:uid="{00000000-0005-0000-0000-0000C6000000}"/>
    <cellStyle name="Pealkiri 1" xfId="199" xr:uid="{00000000-0005-0000-0000-0000C7000000}"/>
    <cellStyle name="Pealkiri 2" xfId="200" xr:uid="{00000000-0005-0000-0000-0000C8000000}"/>
    <cellStyle name="Pealkiri 3" xfId="201" xr:uid="{00000000-0005-0000-0000-0000C9000000}"/>
    <cellStyle name="Pealkiri 4" xfId="202" xr:uid="{00000000-0005-0000-0000-0000CA000000}"/>
    <cellStyle name="Percent 2" xfId="203" xr:uid="{00000000-0005-0000-0000-0000CB000000}"/>
    <cellStyle name="Rõhk1" xfId="204" xr:uid="{00000000-0005-0000-0000-0000CC000000}"/>
    <cellStyle name="Rõhk2" xfId="205" xr:uid="{00000000-0005-0000-0000-0000CD000000}"/>
    <cellStyle name="Rõhk3" xfId="206" xr:uid="{00000000-0005-0000-0000-0000CE000000}"/>
    <cellStyle name="Rõhk4" xfId="207" xr:uid="{00000000-0005-0000-0000-0000CF000000}"/>
    <cellStyle name="Rõhk5" xfId="208" xr:uid="{00000000-0005-0000-0000-0000D0000000}"/>
    <cellStyle name="Rõhk6" xfId="209" xr:uid="{00000000-0005-0000-0000-0000D1000000}"/>
    <cellStyle name="Saistītā šūna" xfId="210" xr:uid="{00000000-0005-0000-0000-0000D2000000}"/>
    <cellStyle name="Selgitav tekst" xfId="211" xr:uid="{00000000-0005-0000-0000-0000D3000000}"/>
    <cellStyle name="Sisestus" xfId="212" xr:uid="{00000000-0005-0000-0000-0000D4000000}"/>
    <cellStyle name="Stils 1" xfId="213" xr:uid="{00000000-0005-0000-0000-0000D5000000}"/>
    <cellStyle name="Stils 1 2" xfId="214" xr:uid="{00000000-0005-0000-0000-0000D6000000}"/>
    <cellStyle name="Style 1" xfId="215" xr:uid="{00000000-0005-0000-0000-0000D7000000}"/>
    <cellStyle name="Style 1 2" xfId="216" xr:uid="{00000000-0005-0000-0000-0000D8000000}"/>
    <cellStyle name="Style 1 2 2" xfId="217" xr:uid="{00000000-0005-0000-0000-0000D9000000}"/>
    <cellStyle name="Style 1 3" xfId="218" xr:uid="{00000000-0005-0000-0000-0000DA000000}"/>
    <cellStyle name="Style 1_TS" xfId="219" xr:uid="{00000000-0005-0000-0000-0000DB000000}"/>
    <cellStyle name="Title 2" xfId="220" xr:uid="{00000000-0005-0000-0000-0000DC000000}"/>
    <cellStyle name="Title 3" xfId="221" xr:uid="{00000000-0005-0000-0000-0000DD000000}"/>
    <cellStyle name="Total 2" xfId="222" xr:uid="{00000000-0005-0000-0000-0000DE000000}"/>
    <cellStyle name="Total 3" xfId="223" xr:uid="{00000000-0005-0000-0000-0000DF000000}"/>
    <cellStyle name="Väljund" xfId="224" xr:uid="{00000000-0005-0000-0000-0000E0000000}"/>
    <cellStyle name="Warning Text 2" xfId="225" xr:uid="{00000000-0005-0000-0000-0000E1000000}"/>
    <cellStyle name="Warning Text 3" xfId="226" xr:uid="{00000000-0005-0000-0000-0000E2000000}"/>
    <cellStyle name="Обычный 2" xfId="227" xr:uid="{00000000-0005-0000-0000-0000E4000000}"/>
    <cellStyle name="Обычный 2 2" xfId="228" xr:uid="{00000000-0005-0000-0000-0000E5000000}"/>
    <cellStyle name="Обычный_01.DPN_PINKI_TIPOGRAFIJA_KONTROLTAME_VADIMS-na sertifikat 2" xfId="229" xr:uid="{00000000-0005-0000-0000-0000E6000000}"/>
    <cellStyle name="Обычный_33. OZOLNIEKU NOVADA DOME_OZO SKOLA_TELPU, GAITENU, KAPNU TELPU REMONTS_TAME_VADIMS_2011_02_25_melnraksts" xfId="230" xr:uid="{00000000-0005-0000-0000-0000E7000000}"/>
    <cellStyle name="Обычный_33. OZOLNIEKU NOVADA DOME_OZO SKOLA_TELPU, GAITENU, KAPNU TELPU REMONTS_TAME_VADIMS_2011_02_25_melnraksts_09. ELITE BRAIN_ZIKI_KUTS BUVNIECIBA_TAME_2013_08_01+EL labots" xfId="231" xr:uid="{00000000-0005-0000-0000-0000E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FF972F"/>
      <rgbColor rgb="FF800080"/>
      <rgbColor rgb="FF008080"/>
      <rgbColor rgb="FFC0C0C0"/>
      <rgbColor rgb="FF808080"/>
      <rgbColor rgb="FF9999FF"/>
      <rgbColor rgb="FFC9211E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C0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7F7F7F"/>
      <rgbColor rgb="FF969696"/>
      <rgbColor rgb="FF003366"/>
      <rgbColor rgb="FF339966"/>
      <rgbColor rgb="FF003300"/>
      <rgbColor rgb="FF41414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MJ70"/>
  <sheetViews>
    <sheetView view="pageBreakPreview" topLeftCell="A25" zoomScaleNormal="100" workbookViewId="0">
      <selection activeCell="D47" sqref="D47"/>
    </sheetView>
  </sheetViews>
  <sheetFormatPr defaultColWidth="9.140625" defaultRowHeight="15" x14ac:dyDescent="0.25"/>
  <cols>
    <col min="1" max="1" width="9.140625" style="1"/>
    <col min="2" max="2" width="10.140625" style="1" customWidth="1"/>
    <col min="3" max="3" width="53.5703125" style="1" customWidth="1"/>
    <col min="4" max="4" width="26.7109375" style="1" customWidth="1"/>
    <col min="5" max="5" width="10.7109375" style="1" customWidth="1"/>
    <col min="6" max="1024" width="9.140625" style="1"/>
  </cols>
  <sheetData>
    <row r="1" spans="1:6" x14ac:dyDescent="0.25">
      <c r="D1" s="2" t="s">
        <v>0</v>
      </c>
    </row>
    <row r="2" spans="1:6" x14ac:dyDescent="0.25">
      <c r="D2" s="3" t="s">
        <v>1</v>
      </c>
      <c r="E2" s="4"/>
      <c r="F2" s="3"/>
    </row>
    <row r="3" spans="1:6" x14ac:dyDescent="0.25">
      <c r="D3" s="3" t="s">
        <v>2</v>
      </c>
      <c r="E3" s="4"/>
      <c r="F3" s="3"/>
    </row>
    <row r="4" spans="1:6" x14ac:dyDescent="0.25">
      <c r="D4" s="3" t="s">
        <v>3</v>
      </c>
      <c r="E4" s="4"/>
      <c r="F4" s="3"/>
    </row>
    <row r="5" spans="1:6" x14ac:dyDescent="0.25">
      <c r="D5" s="3" t="s">
        <v>4</v>
      </c>
      <c r="E5" s="4"/>
      <c r="F5" s="3"/>
    </row>
    <row r="6" spans="1:6" x14ac:dyDescent="0.25">
      <c r="D6" s="3" t="s">
        <v>5</v>
      </c>
      <c r="E6" s="4"/>
      <c r="F6" s="3"/>
    </row>
    <row r="7" spans="1:6" x14ac:dyDescent="0.25">
      <c r="C7" s="5" t="s">
        <v>6</v>
      </c>
      <c r="D7" s="6"/>
      <c r="F7" s="3"/>
    </row>
    <row r="8" spans="1:6" x14ac:dyDescent="0.25">
      <c r="D8" s="7" t="s">
        <v>7</v>
      </c>
      <c r="F8" s="3"/>
    </row>
    <row r="9" spans="1:6" x14ac:dyDescent="0.25">
      <c r="F9" s="3"/>
    </row>
    <row r="10" spans="1:6" x14ac:dyDescent="0.25">
      <c r="D10" s="1" t="s">
        <v>8</v>
      </c>
      <c r="F10" s="3"/>
    </row>
    <row r="11" spans="1:6" x14ac:dyDescent="0.25">
      <c r="F11" s="3"/>
    </row>
    <row r="12" spans="1:6" x14ac:dyDescent="0.25">
      <c r="D12" s="5" t="s">
        <v>589</v>
      </c>
    </row>
    <row r="13" spans="1:6" x14ac:dyDescent="0.25">
      <c r="C13" s="2" t="s">
        <v>9</v>
      </c>
    </row>
    <row r="15" spans="1:6" ht="25.5" x14ac:dyDescent="0.25">
      <c r="A15" s="396" t="s">
        <v>10</v>
      </c>
      <c r="B15" s="396"/>
      <c r="C15" s="8" t="s">
        <v>11</v>
      </c>
    </row>
    <row r="16" spans="1:6" x14ac:dyDescent="0.25">
      <c r="A16" s="396" t="s">
        <v>12</v>
      </c>
      <c r="B16" s="396"/>
      <c r="C16" s="8" t="s">
        <v>13</v>
      </c>
    </row>
    <row r="17" spans="1:6" x14ac:dyDescent="0.25">
      <c r="A17" s="396" t="s">
        <v>14</v>
      </c>
      <c r="B17" s="396"/>
      <c r="C17" s="2" t="s">
        <v>15</v>
      </c>
    </row>
    <row r="18" spans="1:6" x14ac:dyDescent="0.25">
      <c r="A18" s="396" t="s">
        <v>16</v>
      </c>
      <c r="B18" s="396"/>
      <c r="C18" s="2" t="s">
        <v>17</v>
      </c>
    </row>
    <row r="19" spans="1:6" x14ac:dyDescent="0.25">
      <c r="A19" s="396" t="s">
        <v>18</v>
      </c>
      <c r="B19" s="396"/>
      <c r="C19" s="2" t="s">
        <v>633</v>
      </c>
    </row>
    <row r="20" spans="1:6" x14ac:dyDescent="0.25">
      <c r="A20" s="396" t="s">
        <v>19</v>
      </c>
      <c r="B20" s="396"/>
      <c r="C20" s="2"/>
    </row>
    <row r="22" spans="1:6" ht="27.75" customHeight="1" thickBot="1" x14ac:dyDescent="0.3">
      <c r="B22" s="397"/>
      <c r="C22" s="397"/>
      <c r="D22" s="397"/>
    </row>
    <row r="23" spans="1:6" ht="15.75" thickBot="1" x14ac:dyDescent="0.3">
      <c r="B23" s="9" t="s">
        <v>20</v>
      </c>
      <c r="C23" s="10" t="s">
        <v>21</v>
      </c>
      <c r="D23" s="11" t="s">
        <v>22</v>
      </c>
    </row>
    <row r="24" spans="1:6" x14ac:dyDescent="0.25">
      <c r="B24" s="12"/>
      <c r="C24" s="13"/>
      <c r="D24" s="14"/>
    </row>
    <row r="25" spans="1:6" ht="25.5" x14ac:dyDescent="0.25">
      <c r="B25" s="15">
        <v>1</v>
      </c>
      <c r="C25" s="301" t="s">
        <v>11</v>
      </c>
      <c r="D25" s="16">
        <f>'KOPS 1'!F39</f>
        <v>0</v>
      </c>
    </row>
    <row r="26" spans="1:6" ht="9" customHeight="1" thickBot="1" x14ac:dyDescent="0.3">
      <c r="B26" s="17"/>
      <c r="C26" s="18"/>
      <c r="D26" s="19"/>
    </row>
    <row r="27" spans="1:6" ht="15.75" thickBot="1" x14ac:dyDescent="0.3">
      <c r="B27" s="9"/>
      <c r="C27" s="20" t="s">
        <v>23</v>
      </c>
      <c r="D27" s="21">
        <f>SUM(D24:D26)</f>
        <v>0</v>
      </c>
      <c r="F27" s="22"/>
    </row>
    <row r="28" spans="1:6" x14ac:dyDescent="0.25">
      <c r="B28" s="23"/>
      <c r="C28" s="24" t="s">
        <v>24</v>
      </c>
      <c r="D28" s="25">
        <f>D27*0.21</f>
        <v>0</v>
      </c>
    </row>
    <row r="29" spans="1:6" ht="15.75" thickBot="1" x14ac:dyDescent="0.3">
      <c r="B29" s="26"/>
      <c r="C29" s="27" t="s">
        <v>25</v>
      </c>
      <c r="D29" s="28">
        <f>ROUND(D27+D28,2)</f>
        <v>0</v>
      </c>
    </row>
    <row r="30" spans="1:6" ht="15.75" thickBot="1" x14ac:dyDescent="0.3">
      <c r="C30" s="5"/>
      <c r="D30" s="42"/>
    </row>
    <row r="31" spans="1:6" ht="15.75" thickBot="1" x14ac:dyDescent="0.3">
      <c r="B31" s="9" t="s">
        <v>20</v>
      </c>
      <c r="C31" s="10" t="s">
        <v>21</v>
      </c>
      <c r="D31" s="11" t="s">
        <v>22</v>
      </c>
    </row>
    <row r="32" spans="1:6" x14ac:dyDescent="0.25">
      <c r="B32" s="12"/>
      <c r="C32" s="13"/>
      <c r="D32" s="14"/>
    </row>
    <row r="33" spans="2:4" ht="28.5" customHeight="1" x14ac:dyDescent="0.25">
      <c r="B33" s="15">
        <v>2</v>
      </c>
      <c r="C33" s="301" t="s">
        <v>629</v>
      </c>
      <c r="D33" s="16">
        <f>'KOPS 2'!F38</f>
        <v>0</v>
      </c>
    </row>
    <row r="34" spans="2:4" ht="9" customHeight="1" thickBot="1" x14ac:dyDescent="0.3">
      <c r="B34" s="17"/>
      <c r="C34" s="18"/>
      <c r="D34" s="19"/>
    </row>
    <row r="35" spans="2:4" ht="15.75" thickBot="1" x14ac:dyDescent="0.3">
      <c r="B35" s="9"/>
      <c r="C35" s="20" t="s">
        <v>23</v>
      </c>
      <c r="D35" s="21">
        <f>SUM(D32:D34)</f>
        <v>0</v>
      </c>
    </row>
    <row r="36" spans="2:4" x14ac:dyDescent="0.25">
      <c r="B36" s="23"/>
      <c r="C36" s="24" t="s">
        <v>24</v>
      </c>
      <c r="D36" s="25">
        <f>D35*0.21</f>
        <v>0</v>
      </c>
    </row>
    <row r="37" spans="2:4" ht="15.75" thickBot="1" x14ac:dyDescent="0.3">
      <c r="B37" s="26"/>
      <c r="C37" s="27" t="s">
        <v>25</v>
      </c>
      <c r="D37" s="28">
        <f>ROUND(D35+D36,2)</f>
        <v>0</v>
      </c>
    </row>
    <row r="38" spans="2:4" ht="15.75" thickBot="1" x14ac:dyDescent="0.3">
      <c r="C38" s="5"/>
      <c r="D38" s="42"/>
    </row>
    <row r="39" spans="2:4" ht="15.75" thickBot="1" x14ac:dyDescent="0.3">
      <c r="B39" s="9" t="s">
        <v>20</v>
      </c>
      <c r="C39" s="10" t="s">
        <v>21</v>
      </c>
      <c r="D39" s="11" t="s">
        <v>22</v>
      </c>
    </row>
    <row r="40" spans="2:4" x14ac:dyDescent="0.25">
      <c r="B40" s="12"/>
      <c r="C40" s="13"/>
      <c r="D40" s="14"/>
    </row>
    <row r="41" spans="2:4" x14ac:dyDescent="0.25">
      <c r="B41" s="15">
        <v>3</v>
      </c>
      <c r="C41" s="301" t="s">
        <v>632</v>
      </c>
      <c r="D41" s="16">
        <f>'KOPS 3'!F27</f>
        <v>0</v>
      </c>
    </row>
    <row r="42" spans="2:4" ht="7.5" customHeight="1" thickBot="1" x14ac:dyDescent="0.3">
      <c r="B42" s="17"/>
      <c r="C42" s="18"/>
      <c r="D42" s="19"/>
    </row>
    <row r="43" spans="2:4" ht="15.75" thickBot="1" x14ac:dyDescent="0.3">
      <c r="B43" s="9"/>
      <c r="C43" s="20" t="s">
        <v>23</v>
      </c>
      <c r="D43" s="21">
        <f>D41</f>
        <v>0</v>
      </c>
    </row>
    <row r="44" spans="2:4" x14ac:dyDescent="0.25">
      <c r="B44" s="23"/>
      <c r="C44" s="24" t="s">
        <v>24</v>
      </c>
      <c r="D44" s="25">
        <f>D43*0.21</f>
        <v>0</v>
      </c>
    </row>
    <row r="45" spans="2:4" ht="15.75" thickBot="1" x14ac:dyDescent="0.3">
      <c r="B45" s="26"/>
      <c r="C45" s="27" t="s">
        <v>25</v>
      </c>
      <c r="D45" s="28">
        <f>D43+D44</f>
        <v>0</v>
      </c>
    </row>
    <row r="46" spans="2:4" ht="15.75" thickBot="1" x14ac:dyDescent="0.3"/>
    <row r="47" spans="2:4" x14ac:dyDescent="0.25">
      <c r="B47" s="302" t="s">
        <v>20</v>
      </c>
      <c r="C47" s="303" t="s">
        <v>21</v>
      </c>
      <c r="D47" s="304" t="s">
        <v>22</v>
      </c>
    </row>
    <row r="48" spans="2:4" x14ac:dyDescent="0.25">
      <c r="B48" s="305"/>
      <c r="C48" s="306"/>
      <c r="D48" s="307"/>
    </row>
    <row r="49" spans="2:6" ht="38.25" x14ac:dyDescent="0.25">
      <c r="B49" s="308" t="s">
        <v>631</v>
      </c>
      <c r="C49" s="309" t="s">
        <v>630</v>
      </c>
      <c r="D49" s="310">
        <f>D41+D33+D25</f>
        <v>0</v>
      </c>
      <c r="F49" s="22"/>
    </row>
    <row r="50" spans="2:6" ht="7.5" customHeight="1" x14ac:dyDescent="0.25">
      <c r="B50" s="311"/>
      <c r="C50" s="312"/>
      <c r="D50" s="313"/>
    </row>
    <row r="51" spans="2:6" ht="15.75" thickBot="1" x14ac:dyDescent="0.3">
      <c r="B51" s="302"/>
      <c r="C51" s="314" t="s">
        <v>23</v>
      </c>
      <c r="D51" s="315">
        <f>SUM(D48:D50)</f>
        <v>0</v>
      </c>
      <c r="F51" s="22"/>
    </row>
    <row r="52" spans="2:6" x14ac:dyDescent="0.25">
      <c r="B52" s="316"/>
      <c r="C52" s="317" t="s">
        <v>24</v>
      </c>
      <c r="D52" s="318" t="e">
        <f>ROUND(#REF!*0.21,2)</f>
        <v>#REF!</v>
      </c>
    </row>
    <row r="53" spans="2:6" x14ac:dyDescent="0.25">
      <c r="B53" s="319"/>
      <c r="C53" s="320" t="s">
        <v>25</v>
      </c>
      <c r="D53" s="321" t="e">
        <f>ROUND(D51+D52,2)</f>
        <v>#REF!</v>
      </c>
    </row>
    <row r="54" spans="2:6" ht="13.15" customHeight="1" x14ac:dyDescent="0.25"/>
    <row r="55" spans="2:6" s="29" customFormat="1" ht="13.15" customHeight="1" x14ac:dyDescent="0.25">
      <c r="B55" s="398"/>
      <c r="C55" s="398"/>
      <c r="D55" s="398"/>
    </row>
    <row r="56" spans="2:6" s="29" customFormat="1" ht="13.15" customHeight="1" x14ac:dyDescent="0.25">
      <c r="B56" s="398"/>
      <c r="C56" s="398"/>
      <c r="D56" s="398"/>
    </row>
    <row r="57" spans="2:6" s="29" customFormat="1" ht="13.15" customHeight="1" x14ac:dyDescent="0.25">
      <c r="B57" s="30"/>
      <c r="C57" s="30"/>
      <c r="D57" s="30"/>
    </row>
    <row r="58" spans="2:6" ht="13.15" customHeight="1" x14ac:dyDescent="0.25">
      <c r="B58" s="1" t="s">
        <v>26</v>
      </c>
      <c r="C58" s="31"/>
      <c r="D58" s="2"/>
    </row>
    <row r="59" spans="2:6" ht="13.15" customHeight="1" x14ac:dyDescent="0.25">
      <c r="C59" s="32" t="s">
        <v>27</v>
      </c>
    </row>
    <row r="60" spans="2:6" ht="9.75" customHeight="1" x14ac:dyDescent="0.25">
      <c r="C60" s="33"/>
    </row>
    <row r="61" spans="2:6" ht="13.15" customHeight="1" x14ac:dyDescent="0.25">
      <c r="C61" s="31"/>
    </row>
    <row r="62" spans="2:6" ht="6.75" customHeight="1" x14ac:dyDescent="0.25">
      <c r="C62" s="33"/>
    </row>
    <row r="63" spans="2:6" ht="13.15" customHeight="1" x14ac:dyDescent="0.25">
      <c r="B63" s="1" t="s">
        <v>28</v>
      </c>
      <c r="C63" s="31"/>
      <c r="D63" s="2"/>
    </row>
    <row r="64" spans="2:6" ht="13.15" customHeight="1" x14ac:dyDescent="0.25">
      <c r="C64" s="32" t="s">
        <v>27</v>
      </c>
    </row>
    <row r="65" spans="3:3" ht="13.15" customHeight="1" x14ac:dyDescent="0.25">
      <c r="C65" s="33"/>
    </row>
    <row r="66" spans="3:3" ht="13.15" customHeight="1" x14ac:dyDescent="0.25">
      <c r="C66" s="33"/>
    </row>
    <row r="67" spans="3:3" ht="13.15" customHeight="1" x14ac:dyDescent="0.25">
      <c r="C67" s="33"/>
    </row>
    <row r="68" spans="3:3" ht="13.15" customHeight="1" x14ac:dyDescent="0.25">
      <c r="C68" s="31"/>
    </row>
    <row r="69" spans="3:3" ht="13.15" customHeight="1" x14ac:dyDescent="0.25"/>
    <row r="70" spans="3:3" ht="13.15" customHeight="1" x14ac:dyDescent="0.25"/>
  </sheetData>
  <mergeCells count="9">
    <mergeCell ref="A20:B20"/>
    <mergeCell ref="B22:D22"/>
    <mergeCell ref="B55:D55"/>
    <mergeCell ref="B56:D56"/>
    <mergeCell ref="A15:B15"/>
    <mergeCell ref="A16:B16"/>
    <mergeCell ref="A17:B17"/>
    <mergeCell ref="A18:B18"/>
    <mergeCell ref="A19:B19"/>
  </mergeCells>
  <pageMargins left="0.7" right="0.7" top="0.75" bottom="0.75" header="0.51180555555555496" footer="0.51180555555555496"/>
  <pageSetup paperSize="9" scale="70" firstPageNumber="0" orientation="portrait" horizontalDpi="300" verticalDpi="300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MD50"/>
  <sheetViews>
    <sheetView tabSelected="1" view="pageBreakPreview" topLeftCell="A10" zoomScaleNormal="100" workbookViewId="0">
      <selection activeCell="F36" sqref="F36:F39"/>
    </sheetView>
  </sheetViews>
  <sheetFormatPr defaultColWidth="9.140625" defaultRowHeight="15" x14ac:dyDescent="0.25"/>
  <cols>
    <col min="1" max="1" width="5.140625" style="1" customWidth="1"/>
    <col min="2" max="2" width="7.140625" style="1" customWidth="1"/>
    <col min="3" max="3" width="9.7109375" style="1" customWidth="1"/>
    <col min="4" max="4" width="34.85546875" style="1" customWidth="1"/>
    <col min="5" max="5" width="10.140625" style="1" customWidth="1"/>
    <col min="6" max="9" width="10.85546875" style="1" customWidth="1"/>
    <col min="10" max="10" width="10.140625" style="1" customWidth="1"/>
    <col min="11" max="1018" width="9.140625" style="1"/>
  </cols>
  <sheetData>
    <row r="1" spans="1:10" x14ac:dyDescent="0.25">
      <c r="H1" s="413" t="s">
        <v>29</v>
      </c>
      <c r="I1" s="413"/>
      <c r="J1" s="413"/>
    </row>
    <row r="3" spans="1:10" x14ac:dyDescent="0.25">
      <c r="D3" s="414" t="s">
        <v>30</v>
      </c>
      <c r="E3" s="414"/>
      <c r="F3" s="414"/>
      <c r="G3" s="414"/>
      <c r="H3" s="414"/>
      <c r="I3" s="414"/>
      <c r="J3" s="414"/>
    </row>
    <row r="4" spans="1:10" x14ac:dyDescent="0.25">
      <c r="D4" s="415" t="str">
        <f>KOPTAME!C15</f>
        <v>VALGUNDES PAGASTA PĀRVALDES ĒKAS ENERGOEFEKTIVITĀTES PAAGUSTINĀŠANA</v>
      </c>
      <c r="E4" s="415"/>
      <c r="F4" s="415"/>
      <c r="G4" s="415"/>
      <c r="H4" s="415"/>
      <c r="I4" s="415"/>
      <c r="J4" s="415"/>
    </row>
    <row r="5" spans="1:10" x14ac:dyDescent="0.25">
      <c r="D5" s="416" t="s">
        <v>31</v>
      </c>
      <c r="E5" s="416"/>
      <c r="F5" s="416"/>
      <c r="G5" s="416"/>
      <c r="H5" s="416"/>
      <c r="I5" s="416"/>
      <c r="J5" s="416"/>
    </row>
    <row r="7" spans="1:10" x14ac:dyDescent="0.25">
      <c r="C7" s="5" t="s">
        <v>10</v>
      </c>
      <c r="D7" s="413" t="str">
        <f>KOPTAME!C15</f>
        <v>VALGUNDES PAGASTA PĀRVALDES ĒKAS ENERGOEFEKTIVITĀTES PAAGUSTINĀŠANA</v>
      </c>
      <c r="E7" s="413"/>
      <c r="F7" s="413"/>
      <c r="G7" s="413"/>
      <c r="H7" s="413"/>
      <c r="I7" s="413"/>
      <c r="J7" s="413"/>
    </row>
    <row r="8" spans="1:10" x14ac:dyDescent="0.25">
      <c r="C8" s="5" t="s">
        <v>12</v>
      </c>
      <c r="D8" s="413" t="str">
        <f>KOPTAME!C16</f>
        <v>VALGUNDES PAGASTA PĀRVALDES ĒKA</v>
      </c>
      <c r="E8" s="413"/>
      <c r="F8" s="413"/>
      <c r="G8" s="413"/>
      <c r="H8" s="413"/>
      <c r="I8" s="413"/>
      <c r="J8" s="413"/>
    </row>
    <row r="9" spans="1:10" x14ac:dyDescent="0.25">
      <c r="C9" s="5" t="s">
        <v>14</v>
      </c>
      <c r="D9" s="413" t="str">
        <f>KOPTAME!C17</f>
        <v>CELTNIEKU IELA 35, VALGUNDE, JELGAVAS NOVADS</v>
      </c>
      <c r="E9" s="413"/>
      <c r="F9" s="413"/>
      <c r="G9" s="413"/>
      <c r="H9" s="413"/>
      <c r="I9" s="413"/>
      <c r="J9" s="413"/>
    </row>
    <row r="10" spans="1:10" x14ac:dyDescent="0.25">
      <c r="C10" s="5" t="s">
        <v>16</v>
      </c>
      <c r="D10" s="413" t="str">
        <f>KOPTAME!C18</f>
        <v>JELGAVAS NOVADA PAŠVALDĪBA</v>
      </c>
      <c r="E10" s="413"/>
      <c r="F10" s="413"/>
      <c r="G10" s="413"/>
      <c r="H10" s="413"/>
      <c r="I10" s="413"/>
      <c r="J10" s="413"/>
    </row>
    <row r="11" spans="1:10" x14ac:dyDescent="0.25">
      <c r="C11" s="5" t="s">
        <v>18</v>
      </c>
      <c r="D11" s="413" t="str">
        <f>KOPTAME!C19</f>
        <v>23-019/3   (KPJ/2023/31-5)</v>
      </c>
      <c r="E11" s="413"/>
      <c r="F11" s="413"/>
      <c r="G11" s="413"/>
      <c r="H11" s="413"/>
      <c r="I11" s="413"/>
      <c r="J11" s="413"/>
    </row>
    <row r="12" spans="1:10" x14ac:dyDescent="0.25">
      <c r="C12" s="5" t="s">
        <v>19</v>
      </c>
      <c r="D12" s="413">
        <f>KOPTAME!C20</f>
        <v>0</v>
      </c>
      <c r="E12" s="413"/>
      <c r="F12" s="413"/>
      <c r="G12" s="413"/>
      <c r="H12" s="413"/>
      <c r="I12" s="413"/>
      <c r="J12" s="413"/>
    </row>
    <row r="13" spans="1:10" x14ac:dyDescent="0.25">
      <c r="A13" s="5"/>
      <c r="B13" s="5"/>
      <c r="C13" s="5"/>
      <c r="D13" s="2"/>
      <c r="E13" s="2"/>
      <c r="F13" s="2"/>
      <c r="G13" s="2"/>
      <c r="H13" s="2"/>
      <c r="I13" s="2"/>
      <c r="J13" s="2"/>
    </row>
    <row r="14" spans="1:10" x14ac:dyDescent="0.25">
      <c r="A14" s="5"/>
      <c r="B14" s="5"/>
      <c r="C14" s="5"/>
      <c r="D14" s="5" t="s">
        <v>32</v>
      </c>
      <c r="E14" s="35">
        <f>F39</f>
        <v>0</v>
      </c>
      <c r="F14" s="2"/>
      <c r="G14" s="2"/>
      <c r="H14" s="2"/>
      <c r="I14" s="2"/>
      <c r="J14" s="2"/>
    </row>
    <row r="15" spans="1:10" x14ac:dyDescent="0.25">
      <c r="D15" s="5" t="s">
        <v>33</v>
      </c>
      <c r="E15" s="274">
        <f>J35</f>
        <v>0</v>
      </c>
    </row>
    <row r="16" spans="1:10" ht="15.75" thickBot="1" x14ac:dyDescent="0.3"/>
    <row r="17" spans="1:10" ht="13.15" customHeight="1" thickBot="1" x14ac:dyDescent="0.3">
      <c r="A17" s="412" t="s">
        <v>34</v>
      </c>
      <c r="B17" s="404" t="s">
        <v>35</v>
      </c>
      <c r="C17" s="404" t="s">
        <v>36</v>
      </c>
      <c r="D17" s="405" t="s">
        <v>37</v>
      </c>
      <c r="E17" s="405"/>
      <c r="F17" s="406" t="s">
        <v>38</v>
      </c>
      <c r="G17" s="411" t="s">
        <v>39</v>
      </c>
      <c r="H17" s="411"/>
      <c r="I17" s="411"/>
      <c r="J17" s="406" t="s">
        <v>40</v>
      </c>
    </row>
    <row r="18" spans="1:10" ht="26.25" thickBot="1" x14ac:dyDescent="0.3">
      <c r="A18" s="412"/>
      <c r="B18" s="404"/>
      <c r="C18" s="404"/>
      <c r="D18" s="404"/>
      <c r="E18" s="405"/>
      <c r="F18" s="406"/>
      <c r="G18" s="275" t="s">
        <v>41</v>
      </c>
      <c r="H18" s="276" t="s">
        <v>42</v>
      </c>
      <c r="I18" s="277" t="s">
        <v>43</v>
      </c>
      <c r="J18" s="406"/>
    </row>
    <row r="19" spans="1:10" ht="17.25" customHeight="1" thickBot="1" x14ac:dyDescent="0.3">
      <c r="A19" s="408" t="s">
        <v>641</v>
      </c>
      <c r="B19" s="409"/>
      <c r="C19" s="409"/>
      <c r="D19" s="409"/>
      <c r="E19" s="409"/>
      <c r="F19" s="409"/>
      <c r="G19" s="409"/>
      <c r="H19" s="409"/>
      <c r="I19" s="409"/>
      <c r="J19" s="410"/>
    </row>
    <row r="20" spans="1:10" x14ac:dyDescent="0.25">
      <c r="A20" s="23"/>
      <c r="B20" s="36"/>
      <c r="C20" s="36"/>
      <c r="D20" s="407" t="s">
        <v>44</v>
      </c>
      <c r="E20" s="407"/>
      <c r="F20" s="278"/>
      <c r="G20" s="279"/>
      <c r="H20" s="37"/>
      <c r="I20" s="280"/>
      <c r="J20" s="278"/>
    </row>
    <row r="21" spans="1:10" x14ac:dyDescent="0.25">
      <c r="A21" s="15">
        <v>1</v>
      </c>
      <c r="B21" s="38" t="s">
        <v>45</v>
      </c>
      <c r="C21" s="38" t="s">
        <v>634</v>
      </c>
      <c r="D21" s="400" t="s">
        <v>46</v>
      </c>
      <c r="E21" s="400"/>
      <c r="F21" s="240"/>
      <c r="G21" s="39"/>
      <c r="H21" s="40"/>
      <c r="I21" s="281"/>
      <c r="J21" s="240"/>
    </row>
    <row r="22" spans="1:10" x14ac:dyDescent="0.25">
      <c r="A22" s="15">
        <v>2</v>
      </c>
      <c r="B22" s="38" t="s">
        <v>47</v>
      </c>
      <c r="C22" s="38" t="s">
        <v>635</v>
      </c>
      <c r="D22" s="400" t="s">
        <v>48</v>
      </c>
      <c r="E22" s="400"/>
      <c r="F22" s="240"/>
      <c r="G22" s="39"/>
      <c r="H22" s="40"/>
      <c r="I22" s="281"/>
      <c r="J22" s="240"/>
    </row>
    <row r="23" spans="1:10" x14ac:dyDescent="0.25">
      <c r="A23" s="15">
        <v>3</v>
      </c>
      <c r="B23" s="38" t="s">
        <v>49</v>
      </c>
      <c r="C23" s="38" t="s">
        <v>636</v>
      </c>
      <c r="D23" s="400" t="s">
        <v>50</v>
      </c>
      <c r="E23" s="400"/>
      <c r="F23" s="240"/>
      <c r="G23" s="39"/>
      <c r="H23" s="40"/>
      <c r="I23" s="281"/>
      <c r="J23" s="240"/>
    </row>
    <row r="24" spans="1:10" x14ac:dyDescent="0.25">
      <c r="A24" s="15">
        <v>4</v>
      </c>
      <c r="B24" s="38" t="s">
        <v>51</v>
      </c>
      <c r="C24" s="38" t="s">
        <v>637</v>
      </c>
      <c r="D24" s="400" t="s">
        <v>54</v>
      </c>
      <c r="E24" s="400"/>
      <c r="F24" s="240"/>
      <c r="G24" s="39"/>
      <c r="H24" s="40"/>
      <c r="I24" s="281"/>
      <c r="J24" s="240"/>
    </row>
    <row r="25" spans="1:10" x14ac:dyDescent="0.25">
      <c r="A25" s="15">
        <v>5</v>
      </c>
      <c r="B25" s="38" t="s">
        <v>53</v>
      </c>
      <c r="C25" s="38" t="s">
        <v>638</v>
      </c>
      <c r="D25" s="400" t="s">
        <v>55</v>
      </c>
      <c r="E25" s="400"/>
      <c r="F25" s="240"/>
      <c r="G25" s="39"/>
      <c r="H25" s="39"/>
      <c r="I25" s="39"/>
      <c r="J25" s="240"/>
    </row>
    <row r="26" spans="1:10" x14ac:dyDescent="0.25">
      <c r="A26" s="15">
        <v>6</v>
      </c>
      <c r="B26" s="38" t="s">
        <v>639</v>
      </c>
      <c r="C26" s="38" t="s">
        <v>640</v>
      </c>
      <c r="D26" s="400" t="s">
        <v>57</v>
      </c>
      <c r="E26" s="400"/>
      <c r="F26" s="240"/>
      <c r="G26" s="39"/>
      <c r="H26" s="40"/>
      <c r="I26" s="281"/>
      <c r="J26" s="240"/>
    </row>
    <row r="27" spans="1:10" x14ac:dyDescent="0.25">
      <c r="A27" s="15">
        <v>7</v>
      </c>
      <c r="B27" s="38" t="s">
        <v>56</v>
      </c>
      <c r="C27" s="38" t="s">
        <v>643</v>
      </c>
      <c r="D27" s="400" t="s">
        <v>59</v>
      </c>
      <c r="E27" s="400"/>
      <c r="F27" s="240"/>
      <c r="G27" s="39"/>
      <c r="H27" s="40"/>
      <c r="I27" s="281"/>
      <c r="J27" s="240"/>
    </row>
    <row r="28" spans="1:10" ht="16.350000000000001" customHeight="1" x14ac:dyDescent="0.25">
      <c r="A28" s="15">
        <v>8</v>
      </c>
      <c r="B28" s="38" t="s">
        <v>58</v>
      </c>
      <c r="C28" s="38" t="s">
        <v>644</v>
      </c>
      <c r="D28" s="403" t="s">
        <v>60</v>
      </c>
      <c r="E28" s="403"/>
      <c r="F28" s="240"/>
      <c r="G28" s="39"/>
      <c r="H28" s="39"/>
      <c r="I28" s="39"/>
      <c r="J28" s="240"/>
    </row>
    <row r="29" spans="1:10" x14ac:dyDescent="0.25">
      <c r="A29" s="15"/>
      <c r="B29" s="38"/>
      <c r="C29" s="38"/>
      <c r="D29" s="401" t="s">
        <v>63</v>
      </c>
      <c r="E29" s="401"/>
      <c r="F29" s="240"/>
      <c r="G29" s="39"/>
      <c r="H29" s="40"/>
      <c r="I29" s="281"/>
      <c r="J29" s="240"/>
    </row>
    <row r="30" spans="1:10" x14ac:dyDescent="0.25">
      <c r="A30" s="15">
        <v>9</v>
      </c>
      <c r="B30" s="38" t="s">
        <v>402</v>
      </c>
      <c r="C30" s="38" t="s">
        <v>646</v>
      </c>
      <c r="D30" s="402" t="s">
        <v>65</v>
      </c>
      <c r="E30" s="402"/>
      <c r="F30" s="240"/>
      <c r="G30" s="39"/>
      <c r="H30" s="39"/>
      <c r="I30" s="39"/>
      <c r="J30" s="240"/>
    </row>
    <row r="31" spans="1:10" x14ac:dyDescent="0.25">
      <c r="A31" s="15">
        <v>10</v>
      </c>
      <c r="B31" s="38" t="s">
        <v>647</v>
      </c>
      <c r="C31" s="38" t="s">
        <v>66</v>
      </c>
      <c r="D31" s="400" t="s">
        <v>67</v>
      </c>
      <c r="E31" s="400"/>
      <c r="F31" s="240"/>
      <c r="G31" s="39"/>
      <c r="H31" s="39"/>
      <c r="I31" s="39"/>
      <c r="J31" s="240"/>
    </row>
    <row r="32" spans="1:10" x14ac:dyDescent="0.25">
      <c r="A32" s="15">
        <v>11</v>
      </c>
      <c r="B32" s="38" t="s">
        <v>648</v>
      </c>
      <c r="C32" s="18" t="s">
        <v>69</v>
      </c>
      <c r="D32" s="400" t="s">
        <v>70</v>
      </c>
      <c r="E32" s="400"/>
      <c r="F32" s="282"/>
      <c r="G32" s="283"/>
      <c r="H32" s="283"/>
      <c r="I32" s="283"/>
      <c r="J32" s="282"/>
    </row>
    <row r="33" spans="1:10" x14ac:dyDescent="0.25">
      <c r="A33" s="15">
        <v>12</v>
      </c>
      <c r="B33" s="38" t="s">
        <v>68</v>
      </c>
      <c r="C33" s="18" t="s">
        <v>77</v>
      </c>
      <c r="D33" s="400" t="s">
        <v>78</v>
      </c>
      <c r="E33" s="400"/>
      <c r="F33" s="282"/>
      <c r="G33" s="283"/>
      <c r="H33" s="283"/>
      <c r="I33" s="283"/>
      <c r="J33" s="282"/>
    </row>
    <row r="34" spans="1:10" ht="15.75" thickBot="1" x14ac:dyDescent="0.3">
      <c r="A34" s="17"/>
      <c r="B34" s="18"/>
      <c r="C34" s="18"/>
      <c r="D34" s="400"/>
      <c r="E34" s="400"/>
      <c r="F34" s="284"/>
      <c r="G34" s="283"/>
      <c r="H34" s="283"/>
      <c r="I34" s="283"/>
      <c r="J34" s="282"/>
    </row>
    <row r="35" spans="1:10" ht="15.75" thickBot="1" x14ac:dyDescent="0.3">
      <c r="A35" s="9"/>
      <c r="B35" s="10"/>
      <c r="C35" s="285"/>
      <c r="D35" s="399" t="s">
        <v>81</v>
      </c>
      <c r="E35" s="399"/>
      <c r="F35" s="286">
        <f>SUM(F21:F33)</f>
        <v>0</v>
      </c>
      <c r="G35" s="286">
        <f>SUM(G21:G33)</f>
        <v>0</v>
      </c>
      <c r="H35" s="286">
        <f>SUM(H21:H33)</f>
        <v>0</v>
      </c>
      <c r="I35" s="286">
        <f>SUM(I21:I33)</f>
        <v>0</v>
      </c>
      <c r="J35" s="286">
        <f>SUM(J21:J33)</f>
        <v>0</v>
      </c>
    </row>
    <row r="36" spans="1:10" x14ac:dyDescent="0.25">
      <c r="A36" s="12"/>
      <c r="B36" s="13"/>
      <c r="C36" s="13"/>
      <c r="D36" s="287" t="s">
        <v>82</v>
      </c>
      <c r="E36" s="288"/>
      <c r="F36" s="289"/>
    </row>
    <row r="37" spans="1:10" x14ac:dyDescent="0.25">
      <c r="A37" s="15"/>
      <c r="B37" s="38"/>
      <c r="C37" s="38"/>
      <c r="D37" s="290" t="s">
        <v>83</v>
      </c>
      <c r="E37" s="291"/>
      <c r="F37" s="292"/>
    </row>
    <row r="38" spans="1:10" ht="15.75" thickBot="1" x14ac:dyDescent="0.3">
      <c r="A38" s="17"/>
      <c r="B38" s="18"/>
      <c r="C38" s="18"/>
      <c r="D38" s="293" t="s">
        <v>84</v>
      </c>
      <c r="E38" s="294"/>
      <c r="F38" s="284"/>
    </row>
    <row r="39" spans="1:10" ht="15.75" thickBot="1" x14ac:dyDescent="0.3">
      <c r="A39" s="9"/>
      <c r="B39" s="10"/>
      <c r="C39" s="10"/>
      <c r="D39" s="399" t="s">
        <v>85</v>
      </c>
      <c r="E39" s="399"/>
      <c r="F39" s="295"/>
    </row>
    <row r="40" spans="1:10" x14ac:dyDescent="0.25">
      <c r="A40" s="2"/>
      <c r="B40" s="2"/>
      <c r="C40" s="2"/>
      <c r="E40" s="2"/>
      <c r="F40" s="2"/>
    </row>
    <row r="41" spans="1:10" x14ac:dyDescent="0.25">
      <c r="A41" s="2"/>
      <c r="B41" s="2"/>
      <c r="C41" s="2"/>
      <c r="E41" s="2"/>
      <c r="F41" s="2"/>
    </row>
    <row r="42" spans="1:10" x14ac:dyDescent="0.25">
      <c r="B42" s="2" t="s">
        <v>26</v>
      </c>
      <c r="C42" s="2"/>
      <c r="D42" s="6">
        <f>KOPTAME!C58</f>
        <v>0</v>
      </c>
      <c r="F42" s="34">
        <f>KOPTAME!D58</f>
        <v>0</v>
      </c>
    </row>
    <row r="43" spans="1:10" x14ac:dyDescent="0.25">
      <c r="D43" s="1" t="s">
        <v>86</v>
      </c>
      <c r="F43" s="2"/>
    </row>
    <row r="44" spans="1:10" x14ac:dyDescent="0.25">
      <c r="F44" s="2"/>
    </row>
    <row r="45" spans="1:10" x14ac:dyDescent="0.25">
      <c r="D45" s="33">
        <f>KOPTAME!C70</f>
        <v>0</v>
      </c>
      <c r="F45" s="2"/>
    </row>
    <row r="46" spans="1:10" x14ac:dyDescent="0.25">
      <c r="F46" s="2"/>
    </row>
    <row r="47" spans="1:10" x14ac:dyDescent="0.25">
      <c r="B47" s="2" t="s">
        <v>28</v>
      </c>
      <c r="C47" s="2"/>
      <c r="D47" s="6">
        <f>KOPTAME!C63</f>
        <v>0</v>
      </c>
      <c r="F47" s="34">
        <f>F42</f>
        <v>0</v>
      </c>
    </row>
    <row r="48" spans="1:10" x14ac:dyDescent="0.25">
      <c r="D48" s="1" t="s">
        <v>86</v>
      </c>
    </row>
    <row r="50" spans="4:4" x14ac:dyDescent="0.25">
      <c r="D50" s="31">
        <f>KOPTAME!C70</f>
        <v>0</v>
      </c>
    </row>
  </sheetData>
  <mergeCells count="35">
    <mergeCell ref="D8:J8"/>
    <mergeCell ref="D9:J9"/>
    <mergeCell ref="D10:J10"/>
    <mergeCell ref="D11:J11"/>
    <mergeCell ref="D12:J12"/>
    <mergeCell ref="H1:J1"/>
    <mergeCell ref="D3:J3"/>
    <mergeCell ref="D4:J4"/>
    <mergeCell ref="D5:J5"/>
    <mergeCell ref="D7:J7"/>
    <mergeCell ref="B17:B18"/>
    <mergeCell ref="C17:C18"/>
    <mergeCell ref="D17:E18"/>
    <mergeCell ref="F17:F18"/>
    <mergeCell ref="D20:E20"/>
    <mergeCell ref="A19:J19"/>
    <mergeCell ref="G17:I17"/>
    <mergeCell ref="J17:J18"/>
    <mergeCell ref="A17:A18"/>
    <mergeCell ref="D21:E21"/>
    <mergeCell ref="D22:E22"/>
    <mergeCell ref="D23:E23"/>
    <mergeCell ref="D29:E29"/>
    <mergeCell ref="D30:E30"/>
    <mergeCell ref="D24:E24"/>
    <mergeCell ref="D25:E25"/>
    <mergeCell ref="D26:E26"/>
    <mergeCell ref="D27:E27"/>
    <mergeCell ref="D28:E28"/>
    <mergeCell ref="D39:E39"/>
    <mergeCell ref="D33:E33"/>
    <mergeCell ref="D34:E34"/>
    <mergeCell ref="D35:E35"/>
    <mergeCell ref="D31:E31"/>
    <mergeCell ref="D32:E32"/>
  </mergeCells>
  <pageMargins left="0.25" right="0.25" top="0.75" bottom="0.75" header="0.51180555555555496" footer="0.51180555555555496"/>
  <pageSetup paperSize="9" scale="66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MJ55"/>
  <sheetViews>
    <sheetView view="pageBreakPreview" topLeftCell="A7" zoomScaleNormal="100" workbookViewId="0">
      <selection activeCell="H35" sqref="H35"/>
    </sheetView>
  </sheetViews>
  <sheetFormatPr defaultColWidth="9.140625" defaultRowHeight="15" x14ac:dyDescent="0.25"/>
  <cols>
    <col min="1" max="2" width="9.140625" style="1"/>
    <col min="3" max="3" width="32.85546875" style="1" customWidth="1"/>
    <col min="4" max="4" width="7.85546875" style="1" customWidth="1"/>
    <col min="5" max="5" width="8.42578125" style="1" customWidth="1"/>
    <col min="6" max="8" width="8" style="1" customWidth="1"/>
    <col min="9" max="9" width="7.42578125" style="1" customWidth="1"/>
    <col min="10" max="10" width="7.7109375" style="1" customWidth="1"/>
    <col min="11" max="11" width="8" style="1" customWidth="1"/>
    <col min="12" max="13" width="8.28515625" style="1" customWidth="1"/>
    <col min="14" max="15" width="8.85546875" style="1" customWidth="1"/>
    <col min="16" max="1024" width="9.140625" style="1"/>
  </cols>
  <sheetData>
    <row r="1" spans="1:16" x14ac:dyDescent="0.25">
      <c r="M1" s="396" t="s">
        <v>87</v>
      </c>
      <c r="N1" s="396"/>
      <c r="O1" s="396"/>
      <c r="P1" s="396"/>
    </row>
    <row r="2" spans="1:16" ht="6.75" customHeight="1" x14ac:dyDescent="0.25"/>
    <row r="3" spans="1:16" x14ac:dyDescent="0.25">
      <c r="E3" s="426" t="s">
        <v>88</v>
      </c>
      <c r="F3" s="426"/>
      <c r="G3" s="426"/>
      <c r="H3" s="426"/>
      <c r="I3" s="41" t="s">
        <v>45</v>
      </c>
    </row>
    <row r="4" spans="1:16" x14ac:dyDescent="0.25">
      <c r="D4" s="415" t="s">
        <v>46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6" spans="1:16" ht="7.5" customHeight="1" x14ac:dyDescent="0.25"/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5">
        <f>KOPTAME!B22</f>
        <v>0</v>
      </c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M14" s="413" t="s">
        <v>90</v>
      </c>
      <c r="N14" s="413"/>
      <c r="O14" s="35"/>
      <c r="P14" s="2" t="s">
        <v>91</v>
      </c>
    </row>
    <row r="15" spans="1:16" x14ac:dyDescent="0.25">
      <c r="A15" s="425"/>
      <c r="B15" s="425"/>
      <c r="C15" s="425"/>
      <c r="D15" s="425"/>
      <c r="E15" s="425"/>
      <c r="F15" s="425"/>
      <c r="G15" s="425"/>
      <c r="H15" s="425"/>
      <c r="I15" s="425"/>
      <c r="J15" s="425"/>
      <c r="K15" s="425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7" spans="1:16" ht="6" customHeight="1" x14ac:dyDescent="0.25"/>
    <row r="18" spans="1:16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6" ht="59.25" customHeight="1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6" x14ac:dyDescent="0.25">
      <c r="A20" s="17">
        <v>1</v>
      </c>
      <c r="B20" s="18">
        <v>2</v>
      </c>
      <c r="C20" s="18">
        <v>3</v>
      </c>
      <c r="D20" s="18">
        <v>4</v>
      </c>
      <c r="E20" s="47">
        <v>5</v>
      </c>
      <c r="F20" s="17">
        <v>6</v>
      </c>
      <c r="G20" s="18">
        <v>7</v>
      </c>
      <c r="H20" s="18">
        <v>8</v>
      </c>
      <c r="I20" s="18">
        <v>9</v>
      </c>
      <c r="J20" s="18">
        <v>10</v>
      </c>
      <c r="K20" s="19">
        <v>11</v>
      </c>
      <c r="L20" s="48">
        <v>12</v>
      </c>
      <c r="M20" s="18">
        <v>13</v>
      </c>
      <c r="N20" s="18">
        <v>14</v>
      </c>
      <c r="O20" s="18">
        <v>15</v>
      </c>
      <c r="P20" s="19">
        <v>16</v>
      </c>
    </row>
    <row r="21" spans="1:16" s="58" customFormat="1" ht="12.75" customHeight="1" x14ac:dyDescent="0.25">
      <c r="A21" s="49"/>
      <c r="B21" s="50"/>
      <c r="C21" s="322" t="s">
        <v>107</v>
      </c>
      <c r="D21" s="51"/>
      <c r="E21" s="52"/>
      <c r="F21" s="53"/>
      <c r="G21" s="54"/>
      <c r="H21" s="54"/>
      <c r="I21" s="54"/>
      <c r="J21" s="54"/>
      <c r="K21" s="55"/>
      <c r="L21" s="56"/>
      <c r="M21" s="54"/>
      <c r="N21" s="54"/>
      <c r="O21" s="54"/>
      <c r="P21" s="57"/>
    </row>
    <row r="22" spans="1:16" s="69" customFormat="1" ht="34.9" customHeight="1" x14ac:dyDescent="0.25">
      <c r="A22" s="59">
        <v>1</v>
      </c>
      <c r="B22" s="60" t="s">
        <v>108</v>
      </c>
      <c r="C22" s="61" t="s">
        <v>109</v>
      </c>
      <c r="D22" s="60" t="s">
        <v>110</v>
      </c>
      <c r="E22" s="323">
        <v>96</v>
      </c>
      <c r="F22" s="63"/>
      <c r="G22" s="64"/>
      <c r="H22" s="65"/>
      <c r="I22" s="64"/>
      <c r="J22" s="64"/>
      <c r="K22" s="66"/>
      <c r="L22" s="67"/>
      <c r="M22" s="64"/>
      <c r="N22" s="64"/>
      <c r="O22" s="64"/>
      <c r="P22" s="68"/>
    </row>
    <row r="23" spans="1:16" s="69" customFormat="1" ht="18.600000000000001" customHeight="1" x14ac:dyDescent="0.25">
      <c r="A23" s="59">
        <v>2</v>
      </c>
      <c r="B23" s="60" t="s">
        <v>108</v>
      </c>
      <c r="C23" s="61" t="s">
        <v>111</v>
      </c>
      <c r="D23" s="60" t="s">
        <v>112</v>
      </c>
      <c r="E23" s="323">
        <v>12</v>
      </c>
      <c r="F23" s="63"/>
      <c r="G23" s="64"/>
      <c r="H23" s="65"/>
      <c r="I23" s="64"/>
      <c r="J23" s="64"/>
      <c r="K23" s="66"/>
      <c r="L23" s="67"/>
      <c r="M23" s="64"/>
      <c r="N23" s="64"/>
      <c r="O23" s="64"/>
      <c r="P23" s="68"/>
    </row>
    <row r="24" spans="1:16" s="69" customFormat="1" ht="33.6" customHeight="1" x14ac:dyDescent="0.25">
      <c r="A24" s="59">
        <v>3</v>
      </c>
      <c r="B24" s="60" t="s">
        <v>108</v>
      </c>
      <c r="C24" s="61" t="s">
        <v>113</v>
      </c>
      <c r="D24" s="60" t="s">
        <v>114</v>
      </c>
      <c r="E24" s="323">
        <v>2</v>
      </c>
      <c r="F24" s="63"/>
      <c r="G24" s="64"/>
      <c r="H24" s="65"/>
      <c r="I24" s="64"/>
      <c r="J24" s="64"/>
      <c r="K24" s="66"/>
      <c r="L24" s="67"/>
      <c r="M24" s="64"/>
      <c r="N24" s="64"/>
      <c r="O24" s="64"/>
      <c r="P24" s="68"/>
    </row>
    <row r="25" spans="1:16" s="69" customFormat="1" ht="33.6" customHeight="1" x14ac:dyDescent="0.25">
      <c r="A25" s="59">
        <v>4</v>
      </c>
      <c r="B25" s="60" t="s">
        <v>108</v>
      </c>
      <c r="C25" s="61" t="s">
        <v>115</v>
      </c>
      <c r="D25" s="60" t="s">
        <v>114</v>
      </c>
      <c r="E25" s="323">
        <v>2</v>
      </c>
      <c r="F25" s="63"/>
      <c r="G25" s="64"/>
      <c r="H25" s="65"/>
      <c r="I25" s="64"/>
      <c r="J25" s="64"/>
      <c r="K25" s="66"/>
      <c r="L25" s="67"/>
      <c r="M25" s="64"/>
      <c r="N25" s="64"/>
      <c r="O25" s="64"/>
      <c r="P25" s="68"/>
    </row>
    <row r="26" spans="1:16" s="69" customFormat="1" ht="18.600000000000001" customHeight="1" x14ac:dyDescent="0.25">
      <c r="A26" s="59">
        <v>5</v>
      </c>
      <c r="B26" s="60" t="s">
        <v>108</v>
      </c>
      <c r="C26" s="70" t="s">
        <v>116</v>
      </c>
      <c r="D26" s="60" t="s">
        <v>112</v>
      </c>
      <c r="E26" s="323">
        <v>1</v>
      </c>
      <c r="F26" s="63"/>
      <c r="G26" s="64"/>
      <c r="H26" s="65"/>
      <c r="I26" s="64"/>
      <c r="J26" s="64"/>
      <c r="K26" s="66"/>
      <c r="L26" s="67"/>
      <c r="M26" s="64"/>
      <c r="N26" s="64"/>
      <c r="O26" s="64"/>
      <c r="P26" s="68"/>
    </row>
    <row r="27" spans="1:16" s="69" customFormat="1" ht="31.35" customHeight="1" x14ac:dyDescent="0.25">
      <c r="A27" s="59">
        <v>6</v>
      </c>
      <c r="B27" s="60" t="s">
        <v>108</v>
      </c>
      <c r="C27" s="61" t="s">
        <v>117</v>
      </c>
      <c r="D27" s="60" t="s">
        <v>112</v>
      </c>
      <c r="E27" s="323">
        <v>1</v>
      </c>
      <c r="F27" s="63"/>
      <c r="G27" s="64"/>
      <c r="H27" s="65"/>
      <c r="I27" s="64"/>
      <c r="J27" s="64"/>
      <c r="K27" s="66"/>
      <c r="L27" s="67"/>
      <c r="M27" s="64"/>
      <c r="N27" s="64"/>
      <c r="O27" s="64"/>
      <c r="P27" s="68"/>
    </row>
    <row r="28" spans="1:16" s="69" customFormat="1" ht="25.9" customHeight="1" x14ac:dyDescent="0.25">
      <c r="A28" s="59">
        <v>7</v>
      </c>
      <c r="B28" s="60" t="s">
        <v>108</v>
      </c>
      <c r="C28" s="61" t="s">
        <v>118</v>
      </c>
      <c r="D28" s="60" t="s">
        <v>112</v>
      </c>
      <c r="E28" s="323">
        <v>1</v>
      </c>
      <c r="F28" s="63"/>
      <c r="G28" s="64"/>
      <c r="H28" s="65"/>
      <c r="I28" s="64"/>
      <c r="J28" s="64"/>
      <c r="K28" s="66"/>
      <c r="L28" s="67"/>
      <c r="M28" s="64"/>
      <c r="N28" s="64"/>
      <c r="O28" s="64"/>
      <c r="P28" s="68"/>
    </row>
    <row r="29" spans="1:16" s="69" customFormat="1" ht="30.6" customHeight="1" x14ac:dyDescent="0.25">
      <c r="A29" s="59">
        <v>8</v>
      </c>
      <c r="B29" s="60" t="s">
        <v>108</v>
      </c>
      <c r="C29" s="61" t="s">
        <v>119</v>
      </c>
      <c r="D29" s="60" t="s">
        <v>112</v>
      </c>
      <c r="E29" s="323">
        <v>1</v>
      </c>
      <c r="F29" s="63"/>
      <c r="G29" s="64"/>
      <c r="H29" s="65"/>
      <c r="I29" s="64"/>
      <c r="J29" s="64"/>
      <c r="K29" s="66"/>
      <c r="L29" s="67"/>
      <c r="M29" s="64"/>
      <c r="N29" s="64"/>
      <c r="O29" s="64"/>
      <c r="P29" s="68"/>
    </row>
    <row r="30" spans="1:16" s="69" customFormat="1" ht="18.600000000000001" customHeight="1" x14ac:dyDescent="0.25">
      <c r="A30" s="59">
        <v>9</v>
      </c>
      <c r="B30" s="60" t="s">
        <v>108</v>
      </c>
      <c r="C30" s="61" t="s">
        <v>120</v>
      </c>
      <c r="D30" s="60" t="s">
        <v>112</v>
      </c>
      <c r="E30" s="323">
        <v>1</v>
      </c>
      <c r="F30" s="63"/>
      <c r="G30" s="64"/>
      <c r="H30" s="65"/>
      <c r="I30" s="64"/>
      <c r="J30" s="64"/>
      <c r="K30" s="66"/>
      <c r="L30" s="67"/>
      <c r="M30" s="64"/>
      <c r="N30" s="64"/>
      <c r="O30" s="64"/>
      <c r="P30" s="68"/>
    </row>
    <row r="31" spans="1:16" s="69" customFormat="1" ht="28.9" customHeight="1" x14ac:dyDescent="0.25">
      <c r="A31" s="59">
        <v>10</v>
      </c>
      <c r="B31" s="60" t="s">
        <v>108</v>
      </c>
      <c r="C31" s="61" t="s">
        <v>121</v>
      </c>
      <c r="D31" s="60" t="s">
        <v>110</v>
      </c>
      <c r="E31" s="323">
        <v>10</v>
      </c>
      <c r="F31" s="63"/>
      <c r="G31" s="64"/>
      <c r="H31" s="65"/>
      <c r="I31" s="64"/>
      <c r="J31" s="64"/>
      <c r="K31" s="66"/>
      <c r="L31" s="67"/>
      <c r="M31" s="64"/>
      <c r="N31" s="64"/>
      <c r="O31" s="64"/>
      <c r="P31" s="68"/>
    </row>
    <row r="32" spans="1:16" s="69" customFormat="1" ht="18.600000000000001" customHeight="1" x14ac:dyDescent="0.25">
      <c r="A32" s="59">
        <v>11</v>
      </c>
      <c r="B32" s="60" t="s">
        <v>108</v>
      </c>
      <c r="C32" s="61" t="s">
        <v>122</v>
      </c>
      <c r="D32" s="60" t="s">
        <v>114</v>
      </c>
      <c r="E32" s="323">
        <v>7</v>
      </c>
      <c r="F32" s="63"/>
      <c r="G32" s="64"/>
      <c r="H32" s="65"/>
      <c r="I32" s="64"/>
      <c r="J32" s="64"/>
      <c r="K32" s="66"/>
      <c r="L32" s="67"/>
      <c r="M32" s="64"/>
      <c r="N32" s="64"/>
      <c r="O32" s="64"/>
      <c r="P32" s="68"/>
    </row>
    <row r="33" spans="1:19" s="69" customFormat="1" ht="29.45" customHeight="1" x14ac:dyDescent="0.25">
      <c r="A33" s="59">
        <v>12</v>
      </c>
      <c r="B33" s="60" t="s">
        <v>108</v>
      </c>
      <c r="C33" s="61" t="s">
        <v>123</v>
      </c>
      <c r="D33" s="60" t="s">
        <v>124</v>
      </c>
      <c r="E33" s="323">
        <v>530</v>
      </c>
      <c r="F33" s="63"/>
      <c r="G33" s="64"/>
      <c r="H33" s="65"/>
      <c r="I33" s="64"/>
      <c r="J33" s="64"/>
      <c r="K33" s="66"/>
      <c r="L33" s="67"/>
      <c r="M33" s="64"/>
      <c r="N33" s="64"/>
      <c r="O33" s="64"/>
      <c r="P33" s="68"/>
    </row>
    <row r="34" spans="1:19" s="69" customFormat="1" ht="18.600000000000001" customHeight="1" x14ac:dyDescent="0.25">
      <c r="A34" s="59">
        <v>13</v>
      </c>
      <c r="B34" s="60" t="s">
        <v>108</v>
      </c>
      <c r="C34" s="61" t="s">
        <v>125</v>
      </c>
      <c r="D34" s="60" t="s">
        <v>112</v>
      </c>
      <c r="E34" s="323">
        <v>1</v>
      </c>
      <c r="F34" s="63"/>
      <c r="G34" s="64"/>
      <c r="H34" s="65"/>
      <c r="I34" s="64"/>
      <c r="J34" s="64"/>
      <c r="K34" s="66"/>
      <c r="L34" s="67"/>
      <c r="M34" s="64"/>
      <c r="N34" s="64"/>
      <c r="O34" s="64"/>
      <c r="P34" s="68"/>
    </row>
    <row r="35" spans="1:19" s="69" customFormat="1" ht="18.600000000000001" customHeight="1" x14ac:dyDescent="0.25">
      <c r="A35" s="59">
        <v>14</v>
      </c>
      <c r="B35" s="60" t="s">
        <v>108</v>
      </c>
      <c r="C35" s="61" t="s">
        <v>126</v>
      </c>
      <c r="D35" s="60" t="s">
        <v>127</v>
      </c>
      <c r="E35" s="323">
        <v>8</v>
      </c>
      <c r="F35" s="63"/>
      <c r="G35" s="64"/>
      <c r="H35" s="65"/>
      <c r="I35" s="64"/>
      <c r="J35" s="64"/>
      <c r="K35" s="66"/>
      <c r="L35" s="67"/>
      <c r="M35" s="64"/>
      <c r="N35" s="64"/>
      <c r="O35" s="64"/>
      <c r="P35" s="68"/>
    </row>
    <row r="36" spans="1:19" s="58" customFormat="1" ht="18.600000000000001" customHeight="1" x14ac:dyDescent="0.25">
      <c r="A36" s="71"/>
      <c r="B36" s="60"/>
      <c r="C36" s="325" t="s">
        <v>128</v>
      </c>
      <c r="D36" s="72" t="s">
        <v>129</v>
      </c>
      <c r="E36" s="324">
        <v>4</v>
      </c>
      <c r="F36" s="73"/>
      <c r="G36" s="74"/>
      <c r="H36" s="74"/>
      <c r="I36" s="74"/>
      <c r="J36" s="74"/>
      <c r="K36" s="75"/>
      <c r="L36" s="76"/>
      <c r="M36" s="74"/>
      <c r="N36" s="74"/>
      <c r="O36" s="77"/>
      <c r="P36" s="78"/>
      <c r="Q36" s="79"/>
      <c r="R36" s="80"/>
      <c r="S36" s="80"/>
    </row>
    <row r="37" spans="1:19" s="69" customFormat="1" ht="18.600000000000001" customHeight="1" x14ac:dyDescent="0.25">
      <c r="A37" s="59">
        <v>1</v>
      </c>
      <c r="B37" s="60" t="s">
        <v>108</v>
      </c>
      <c r="C37" s="70" t="s">
        <v>130</v>
      </c>
      <c r="D37" s="60" t="s">
        <v>114</v>
      </c>
      <c r="E37" s="323">
        <v>1</v>
      </c>
      <c r="F37" s="63"/>
      <c r="G37" s="64"/>
      <c r="H37" s="65"/>
      <c r="I37" s="64"/>
      <c r="J37" s="64"/>
      <c r="K37" s="66"/>
      <c r="L37" s="67"/>
      <c r="M37" s="64"/>
      <c r="N37" s="64"/>
      <c r="O37" s="64"/>
      <c r="P37" s="68"/>
    </row>
    <row r="38" spans="1:19" s="69" customFormat="1" ht="18.600000000000001" customHeight="1" x14ac:dyDescent="0.25">
      <c r="A38" s="59">
        <v>2</v>
      </c>
      <c r="B38" s="60" t="s">
        <v>108</v>
      </c>
      <c r="C38" s="70" t="s">
        <v>131</v>
      </c>
      <c r="D38" s="60" t="s">
        <v>112</v>
      </c>
      <c r="E38" s="323">
        <v>1</v>
      </c>
      <c r="F38" s="63"/>
      <c r="G38" s="64"/>
      <c r="H38" s="65"/>
      <c r="I38" s="64"/>
      <c r="J38" s="64"/>
      <c r="K38" s="66"/>
      <c r="L38" s="67"/>
      <c r="M38" s="64"/>
      <c r="N38" s="64"/>
      <c r="O38" s="64"/>
      <c r="P38" s="68"/>
    </row>
    <row r="39" spans="1:19" s="69" customFormat="1" ht="18.600000000000001" customHeight="1" x14ac:dyDescent="0.25">
      <c r="A39" s="59">
        <v>3</v>
      </c>
      <c r="B39" s="60" t="s">
        <v>108</v>
      </c>
      <c r="C39" s="70" t="s">
        <v>132</v>
      </c>
      <c r="D39" s="60" t="s">
        <v>112</v>
      </c>
      <c r="E39" s="323">
        <v>1</v>
      </c>
      <c r="F39" s="63"/>
      <c r="G39" s="64"/>
      <c r="H39" s="65"/>
      <c r="I39" s="64"/>
      <c r="J39" s="64"/>
      <c r="K39" s="66"/>
      <c r="L39" s="67"/>
      <c r="M39" s="64"/>
      <c r="N39" s="64"/>
      <c r="O39" s="64"/>
      <c r="P39" s="68"/>
    </row>
    <row r="40" spans="1:19" s="69" customFormat="1" ht="18.600000000000001" customHeight="1" x14ac:dyDescent="0.25">
      <c r="A40" s="59">
        <v>4</v>
      </c>
      <c r="B40" s="60" t="s">
        <v>108</v>
      </c>
      <c r="C40" s="70" t="s">
        <v>133</v>
      </c>
      <c r="D40" s="60" t="s">
        <v>124</v>
      </c>
      <c r="E40" s="323">
        <f>E33</f>
        <v>530</v>
      </c>
      <c r="F40" s="63"/>
      <c r="G40" s="64"/>
      <c r="H40" s="65"/>
      <c r="I40" s="64"/>
      <c r="J40" s="64"/>
      <c r="K40" s="66"/>
      <c r="L40" s="67"/>
      <c r="M40" s="64"/>
      <c r="N40" s="64"/>
      <c r="O40" s="64"/>
      <c r="P40" s="68"/>
    </row>
    <row r="41" spans="1:19" s="69" customFormat="1" ht="25.5" x14ac:dyDescent="0.25">
      <c r="A41" s="59">
        <v>5</v>
      </c>
      <c r="B41" s="60" t="s">
        <v>108</v>
      </c>
      <c r="C41" s="81" t="s">
        <v>134</v>
      </c>
      <c r="D41" s="60" t="s">
        <v>135</v>
      </c>
      <c r="E41" s="323">
        <f>E36/2</f>
        <v>2</v>
      </c>
      <c r="F41" s="63"/>
      <c r="G41" s="64"/>
      <c r="H41" s="65"/>
      <c r="I41" s="64"/>
      <c r="J41" s="64"/>
      <c r="K41" s="66"/>
      <c r="L41" s="67"/>
      <c r="M41" s="64"/>
      <c r="N41" s="64"/>
      <c r="O41" s="64"/>
      <c r="P41" s="68"/>
    </row>
    <row r="42" spans="1:19" ht="14.85" customHeight="1" x14ac:dyDescent="0.25">
      <c r="A42" s="82"/>
      <c r="B42" s="83"/>
      <c r="C42" s="83"/>
      <c r="D42" s="83"/>
      <c r="E42" s="84"/>
      <c r="F42" s="82"/>
      <c r="G42" s="83"/>
      <c r="H42" s="83"/>
      <c r="I42" s="83"/>
      <c r="J42" s="83"/>
      <c r="K42" s="85"/>
      <c r="L42" s="86"/>
      <c r="M42" s="83"/>
      <c r="N42" s="83"/>
      <c r="O42" s="83"/>
      <c r="P42" s="85"/>
    </row>
    <row r="43" spans="1:19" ht="14.85" customHeight="1" x14ac:dyDescent="0.25">
      <c r="A43" s="87"/>
      <c r="B43" s="88"/>
      <c r="C43" s="419" t="s">
        <v>136</v>
      </c>
      <c r="D43" s="419"/>
      <c r="E43" s="419"/>
      <c r="F43" s="419"/>
      <c r="G43" s="419"/>
      <c r="H43" s="419"/>
      <c r="I43" s="419"/>
      <c r="J43" s="419"/>
      <c r="K43" s="419"/>
      <c r="L43" s="89">
        <f>SUM(L21:L42)</f>
        <v>0</v>
      </c>
      <c r="M43" s="90">
        <f>SUM(M21:M42)</f>
        <v>0</v>
      </c>
      <c r="N43" s="90">
        <f>SUM(N21:N42)</f>
        <v>0</v>
      </c>
      <c r="O43" s="90">
        <f>SUM(O21:O42)</f>
        <v>0</v>
      </c>
      <c r="P43" s="21">
        <f>SUM(P21:P42)</f>
        <v>0</v>
      </c>
    </row>
    <row r="44" spans="1:19" ht="14.85" customHeight="1" x14ac:dyDescent="0.25"/>
    <row r="45" spans="1:19" ht="14.85" customHeight="1" x14ac:dyDescent="0.25">
      <c r="B45" s="1" t="s">
        <v>26</v>
      </c>
      <c r="C45" s="6">
        <f>KOPTAME!C58</f>
        <v>0</v>
      </c>
      <c r="E45" s="34">
        <f>'KOPS 1'!F42</f>
        <v>0</v>
      </c>
    </row>
    <row r="46" spans="1:19" ht="14.85" customHeight="1" x14ac:dyDescent="0.25">
      <c r="C46" s="32" t="s">
        <v>86</v>
      </c>
      <c r="E46" s="2"/>
    </row>
    <row r="47" spans="1:19" ht="14.85" customHeight="1" x14ac:dyDescent="0.25">
      <c r="E47" s="2"/>
    </row>
    <row r="48" spans="1:19" ht="14.85" customHeight="1" x14ac:dyDescent="0.25">
      <c r="B48" s="5"/>
      <c r="C48" s="33"/>
      <c r="D48" s="2"/>
      <c r="E48" s="2"/>
      <c r="F48" s="42"/>
    </row>
    <row r="49" spans="2:5" ht="14.85" customHeight="1" x14ac:dyDescent="0.25">
      <c r="E49" s="2"/>
    </row>
    <row r="50" spans="2:5" ht="14.85" customHeight="1" x14ac:dyDescent="0.25">
      <c r="B50" s="1" t="s">
        <v>28</v>
      </c>
      <c r="C50" s="6">
        <f>KOPTAME!C63</f>
        <v>0</v>
      </c>
      <c r="E50" s="34">
        <f>E45</f>
        <v>0</v>
      </c>
    </row>
    <row r="51" spans="2:5" ht="14.85" customHeight="1" x14ac:dyDescent="0.25">
      <c r="C51" s="32" t="s">
        <v>86</v>
      </c>
    </row>
    <row r="52" spans="2:5" ht="14.85" customHeight="1" x14ac:dyDescent="0.25"/>
    <row r="53" spans="2:5" ht="14.85" customHeight="1" x14ac:dyDescent="0.25">
      <c r="C53" s="1">
        <f>KOPTAME!C68</f>
        <v>0</v>
      </c>
    </row>
    <row r="54" spans="2:5" ht="14.85" customHeight="1" x14ac:dyDescent="0.25"/>
    <row r="55" spans="2:5" ht="14.85" customHeight="1" x14ac:dyDescent="0.25">
      <c r="C55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43:K43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MJ85"/>
  <sheetViews>
    <sheetView view="pageBreakPreview" topLeftCell="A56" zoomScaleNormal="100" workbookViewId="0">
      <selection activeCell="K27" sqref="K27"/>
    </sheetView>
  </sheetViews>
  <sheetFormatPr defaultColWidth="9.140625" defaultRowHeight="15" x14ac:dyDescent="0.25"/>
  <cols>
    <col min="1" max="1" width="9.140625" style="1"/>
    <col min="2" max="2" width="9.85546875" style="1" customWidth="1"/>
    <col min="3" max="3" width="32.85546875" style="1" customWidth="1"/>
    <col min="4" max="4" width="7.85546875" style="1" customWidth="1"/>
    <col min="5" max="5" width="9.140625" style="1"/>
    <col min="6" max="8" width="7.42578125" style="1" customWidth="1"/>
    <col min="9" max="11" width="7.140625" style="1" customWidth="1"/>
    <col min="12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x14ac:dyDescent="0.25">
      <c r="E3" s="426" t="s">
        <v>88</v>
      </c>
      <c r="F3" s="426"/>
      <c r="G3" s="426"/>
      <c r="H3" s="426"/>
      <c r="I3" s="41" t="s">
        <v>47</v>
      </c>
    </row>
    <row r="4" spans="1:16" x14ac:dyDescent="0.25">
      <c r="D4" s="415" t="s">
        <v>48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/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8" spans="1:19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9" ht="70.5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9" x14ac:dyDescent="0.25">
      <c r="A20" s="17">
        <v>1</v>
      </c>
      <c r="B20" s="18">
        <v>2</v>
      </c>
      <c r="C20" s="18">
        <v>3</v>
      </c>
      <c r="D20" s="18">
        <v>4</v>
      </c>
      <c r="E20" s="47">
        <v>5</v>
      </c>
      <c r="F20" s="17">
        <v>6</v>
      </c>
      <c r="G20" s="18">
        <v>7</v>
      </c>
      <c r="H20" s="18">
        <v>8</v>
      </c>
      <c r="I20" s="18">
        <v>9</v>
      </c>
      <c r="J20" s="18">
        <v>10</v>
      </c>
      <c r="K20" s="19">
        <v>11</v>
      </c>
      <c r="L20" s="48">
        <v>12</v>
      </c>
      <c r="M20" s="18">
        <v>13</v>
      </c>
      <c r="N20" s="18">
        <v>14</v>
      </c>
      <c r="O20" s="18">
        <v>15</v>
      </c>
      <c r="P20" s="19">
        <v>16</v>
      </c>
    </row>
    <row r="21" spans="1:19" s="58" customFormat="1" ht="18.600000000000001" customHeight="1" x14ac:dyDescent="0.25">
      <c r="A21" s="49"/>
      <c r="B21" s="50"/>
      <c r="C21" s="326" t="s">
        <v>137</v>
      </c>
      <c r="D21" s="327"/>
      <c r="E21" s="328"/>
      <c r="F21" s="53"/>
      <c r="G21" s="54"/>
      <c r="H21" s="54"/>
      <c r="I21" s="54"/>
      <c r="J21" s="54"/>
      <c r="K21" s="55"/>
      <c r="L21" s="56"/>
      <c r="M21" s="54"/>
      <c r="N21" s="54"/>
      <c r="O21" s="54"/>
      <c r="P21" s="57"/>
    </row>
    <row r="22" spans="1:19" s="58" customFormat="1" ht="18.600000000000001" customHeight="1" x14ac:dyDescent="0.25">
      <c r="A22" s="71">
        <v>1</v>
      </c>
      <c r="B22" s="91" t="s">
        <v>108</v>
      </c>
      <c r="C22" s="329" t="s">
        <v>138</v>
      </c>
      <c r="D22" s="330" t="s">
        <v>114</v>
      </c>
      <c r="E22" s="331">
        <f>6*2*2+4+2</f>
        <v>30</v>
      </c>
      <c r="F22" s="92"/>
      <c r="G22" s="64"/>
      <c r="H22" s="93"/>
      <c r="I22" s="64"/>
      <c r="J22" s="64"/>
      <c r="K22" s="66"/>
      <c r="L22" s="67"/>
      <c r="M22" s="64"/>
      <c r="N22" s="64"/>
      <c r="O22" s="64"/>
      <c r="P22" s="68"/>
      <c r="S22" s="94"/>
    </row>
    <row r="23" spans="1:19" s="58" customFormat="1" ht="18.600000000000001" customHeight="1" x14ac:dyDescent="0.25">
      <c r="A23" s="71">
        <v>2</v>
      </c>
      <c r="B23" s="91" t="s">
        <v>108</v>
      </c>
      <c r="C23" s="329" t="s">
        <v>139</v>
      </c>
      <c r="D23" s="330" t="s">
        <v>110</v>
      </c>
      <c r="E23" s="331">
        <f>6*2*2*3+4*2.6+2*2</f>
        <v>86.4</v>
      </c>
      <c r="F23" s="92"/>
      <c r="G23" s="64"/>
      <c r="H23" s="93"/>
      <c r="I23" s="74"/>
      <c r="J23" s="64"/>
      <c r="K23" s="66"/>
      <c r="L23" s="67"/>
      <c r="M23" s="64"/>
      <c r="N23" s="64"/>
      <c r="O23" s="64"/>
      <c r="P23" s="68"/>
      <c r="S23" s="94"/>
    </row>
    <row r="24" spans="1:19" s="58" customFormat="1" ht="18.600000000000001" customHeight="1" x14ac:dyDescent="0.25">
      <c r="A24" s="71">
        <v>3</v>
      </c>
      <c r="B24" s="91" t="s">
        <v>108</v>
      </c>
      <c r="C24" s="329" t="s">
        <v>140</v>
      </c>
      <c r="D24" s="330" t="s">
        <v>110</v>
      </c>
      <c r="E24" s="331">
        <f>E23</f>
        <v>86.4</v>
      </c>
      <c r="F24" s="92"/>
      <c r="G24" s="64"/>
      <c r="H24" s="93"/>
      <c r="I24" s="74"/>
      <c r="J24" s="64"/>
      <c r="K24" s="66"/>
      <c r="L24" s="67"/>
      <c r="M24" s="64"/>
      <c r="N24" s="64"/>
      <c r="O24" s="64"/>
      <c r="P24" s="68"/>
      <c r="S24" s="94"/>
    </row>
    <row r="25" spans="1:19" s="58" customFormat="1" ht="18.600000000000001" customHeight="1" x14ac:dyDescent="0.25">
      <c r="A25" s="71">
        <v>4</v>
      </c>
      <c r="B25" s="91" t="s">
        <v>108</v>
      </c>
      <c r="C25" s="329" t="s">
        <v>141</v>
      </c>
      <c r="D25" s="330" t="s">
        <v>114</v>
      </c>
      <c r="E25" s="331">
        <v>3</v>
      </c>
      <c r="F25" s="92"/>
      <c r="G25" s="64"/>
      <c r="H25" s="93"/>
      <c r="I25" s="64"/>
      <c r="J25" s="64"/>
      <c r="K25" s="66"/>
      <c r="L25" s="67"/>
      <c r="M25" s="64"/>
      <c r="N25" s="64"/>
      <c r="O25" s="64"/>
      <c r="P25" s="68"/>
      <c r="S25" s="94"/>
    </row>
    <row r="26" spans="1:19" s="58" customFormat="1" ht="27" customHeight="1" x14ac:dyDescent="0.25">
      <c r="A26" s="71">
        <v>5</v>
      </c>
      <c r="B26" s="91" t="s">
        <v>108</v>
      </c>
      <c r="C26" s="329" t="s">
        <v>142</v>
      </c>
      <c r="D26" s="330" t="s">
        <v>114</v>
      </c>
      <c r="E26" s="331">
        <f>11+8</f>
        <v>19</v>
      </c>
      <c r="F26" s="92"/>
      <c r="G26" s="64"/>
      <c r="H26" s="93"/>
      <c r="I26" s="64"/>
      <c r="J26" s="64"/>
      <c r="K26" s="66"/>
      <c r="L26" s="67"/>
      <c r="M26" s="64"/>
      <c r="N26" s="64"/>
      <c r="O26" s="64"/>
      <c r="P26" s="68"/>
      <c r="S26" s="94"/>
    </row>
    <row r="27" spans="1:19" s="58" customFormat="1" ht="27" customHeight="1" x14ac:dyDescent="0.25">
      <c r="A27" s="71">
        <v>6</v>
      </c>
      <c r="B27" s="91" t="s">
        <v>108</v>
      </c>
      <c r="C27" s="329" t="s">
        <v>143</v>
      </c>
      <c r="D27" s="330" t="s">
        <v>110</v>
      </c>
      <c r="E27" s="331">
        <f>24*(3*2+1.8*1)+4*(2.6*2+0.9*2)+2*1.8*4+3*5.2+19*5</f>
        <v>340.2</v>
      </c>
      <c r="F27" s="92"/>
      <c r="G27" s="64"/>
      <c r="H27" s="93"/>
      <c r="I27" s="64"/>
      <c r="J27" s="64"/>
      <c r="K27" s="66"/>
      <c r="L27" s="67"/>
      <c r="M27" s="64"/>
      <c r="N27" s="64"/>
      <c r="O27" s="64"/>
      <c r="P27" s="68"/>
      <c r="S27" s="94"/>
    </row>
    <row r="28" spans="1:19" s="58" customFormat="1" ht="18.600000000000001" customHeight="1" x14ac:dyDescent="0.25">
      <c r="A28" s="71">
        <v>7</v>
      </c>
      <c r="B28" s="91" t="s">
        <v>108</v>
      </c>
      <c r="C28" s="329" t="s">
        <v>144</v>
      </c>
      <c r="D28" s="330" t="s">
        <v>124</v>
      </c>
      <c r="E28" s="331">
        <f>21.977*6.13*2</f>
        <v>269.43801999999999</v>
      </c>
      <c r="F28" s="92"/>
      <c r="G28" s="64"/>
      <c r="H28" s="93"/>
      <c r="I28" s="64"/>
      <c r="J28" s="64"/>
      <c r="K28" s="66"/>
      <c r="L28" s="67"/>
      <c r="M28" s="64"/>
      <c r="N28" s="64"/>
      <c r="O28" s="64"/>
      <c r="P28" s="68"/>
      <c r="S28" s="94"/>
    </row>
    <row r="29" spans="1:19" s="58" customFormat="1" ht="18.600000000000001" customHeight="1" x14ac:dyDescent="0.25">
      <c r="A29" s="71">
        <v>8</v>
      </c>
      <c r="B29" s="91" t="s">
        <v>108</v>
      </c>
      <c r="C29" s="329" t="s">
        <v>145</v>
      </c>
      <c r="D29" s="330" t="s">
        <v>110</v>
      </c>
      <c r="E29" s="331">
        <f>2*21.977</f>
        <v>43.954000000000001</v>
      </c>
      <c r="F29" s="92"/>
      <c r="G29" s="64"/>
      <c r="H29" s="93"/>
      <c r="I29" s="64"/>
      <c r="J29" s="64"/>
      <c r="K29" s="66"/>
      <c r="L29" s="67"/>
      <c r="M29" s="64"/>
      <c r="N29" s="64"/>
      <c r="O29" s="64"/>
      <c r="P29" s="68"/>
      <c r="S29" s="94"/>
    </row>
    <row r="30" spans="1:19" s="58" customFormat="1" ht="18.600000000000001" customHeight="1" x14ac:dyDescent="0.25">
      <c r="A30" s="71">
        <v>9</v>
      </c>
      <c r="B30" s="91" t="s">
        <v>108</v>
      </c>
      <c r="C30" s="329" t="s">
        <v>146</v>
      </c>
      <c r="D30" s="330" t="s">
        <v>110</v>
      </c>
      <c r="E30" s="331">
        <f>2*10.4</f>
        <v>20.8</v>
      </c>
      <c r="F30" s="92"/>
      <c r="G30" s="64"/>
      <c r="H30" s="93"/>
      <c r="I30" s="64"/>
      <c r="J30" s="64"/>
      <c r="K30" s="66"/>
      <c r="L30" s="67"/>
      <c r="M30" s="64"/>
      <c r="N30" s="64"/>
      <c r="O30" s="64"/>
      <c r="P30" s="68"/>
      <c r="S30" s="94"/>
    </row>
    <row r="31" spans="1:19" s="58" customFormat="1" ht="18.600000000000001" customHeight="1" x14ac:dyDescent="0.25">
      <c r="A31" s="71">
        <v>10</v>
      </c>
      <c r="B31" s="91" t="s">
        <v>108</v>
      </c>
      <c r="C31" s="329" t="s">
        <v>147</v>
      </c>
      <c r="D31" s="330" t="s">
        <v>110</v>
      </c>
      <c r="E31" s="331">
        <f>2*21.977</f>
        <v>43.954000000000001</v>
      </c>
      <c r="F31" s="92"/>
      <c r="G31" s="64"/>
      <c r="H31" s="93"/>
      <c r="I31" s="64"/>
      <c r="J31" s="64"/>
      <c r="K31" s="66"/>
      <c r="L31" s="67"/>
      <c r="M31" s="64"/>
      <c r="N31" s="64"/>
      <c r="O31" s="64"/>
      <c r="P31" s="68"/>
      <c r="S31" s="94"/>
    </row>
    <row r="32" spans="1:19" s="58" customFormat="1" ht="18.600000000000001" customHeight="1" x14ac:dyDescent="0.25">
      <c r="A32" s="71">
        <v>11</v>
      </c>
      <c r="B32" s="91" t="s">
        <v>108</v>
      </c>
      <c r="C32" s="329" t="s">
        <v>148</v>
      </c>
      <c r="D32" s="330" t="s">
        <v>110</v>
      </c>
      <c r="E32" s="331">
        <f>4*6.5</f>
        <v>26</v>
      </c>
      <c r="F32" s="92"/>
      <c r="G32" s="64"/>
      <c r="H32" s="93"/>
      <c r="I32" s="64"/>
      <c r="J32" s="64"/>
      <c r="K32" s="66"/>
      <c r="L32" s="67"/>
      <c r="M32" s="64"/>
      <c r="N32" s="64"/>
      <c r="O32" s="64"/>
      <c r="P32" s="68"/>
      <c r="S32" s="94"/>
    </row>
    <row r="33" spans="1:19" s="58" customFormat="1" ht="29.85" customHeight="1" x14ac:dyDescent="0.25">
      <c r="A33" s="71">
        <v>12</v>
      </c>
      <c r="B33" s="91" t="s">
        <v>108</v>
      </c>
      <c r="C33" s="329" t="s">
        <v>149</v>
      </c>
      <c r="D33" s="330" t="s">
        <v>112</v>
      </c>
      <c r="E33" s="331">
        <v>1</v>
      </c>
      <c r="F33" s="92"/>
      <c r="G33" s="64"/>
      <c r="H33" s="93"/>
      <c r="I33" s="64"/>
      <c r="J33" s="64"/>
      <c r="K33" s="66"/>
      <c r="L33" s="67"/>
      <c r="M33" s="64"/>
      <c r="N33" s="64"/>
      <c r="O33" s="64"/>
      <c r="P33" s="68"/>
      <c r="S33" s="94"/>
    </row>
    <row r="34" spans="1:19" s="58" customFormat="1" ht="29.85" customHeight="1" x14ac:dyDescent="0.25">
      <c r="A34" s="71">
        <v>13</v>
      </c>
      <c r="B34" s="91" t="s">
        <v>108</v>
      </c>
      <c r="C34" s="329" t="s">
        <v>150</v>
      </c>
      <c r="D34" s="330" t="s">
        <v>112</v>
      </c>
      <c r="E34" s="331">
        <v>1</v>
      </c>
      <c r="F34" s="92"/>
      <c r="G34" s="64"/>
      <c r="H34" s="93"/>
      <c r="I34" s="64"/>
      <c r="J34" s="64"/>
      <c r="K34" s="66"/>
      <c r="L34" s="67"/>
      <c r="M34" s="64"/>
      <c r="N34" s="64"/>
      <c r="O34" s="64"/>
      <c r="P34" s="68"/>
      <c r="S34" s="94"/>
    </row>
    <row r="35" spans="1:19" s="58" customFormat="1" ht="29.85" customHeight="1" x14ac:dyDescent="0.25">
      <c r="A35" s="71">
        <v>14</v>
      </c>
      <c r="B35" s="91" t="s">
        <v>108</v>
      </c>
      <c r="C35" s="329" t="s">
        <v>151</v>
      </c>
      <c r="D35" s="330" t="s">
        <v>124</v>
      </c>
      <c r="E35" s="331">
        <f>3*2</f>
        <v>6</v>
      </c>
      <c r="F35" s="92"/>
      <c r="G35" s="64"/>
      <c r="H35" s="93"/>
      <c r="I35" s="64"/>
      <c r="J35" s="64"/>
      <c r="K35" s="66"/>
      <c r="L35" s="67"/>
      <c r="M35" s="64"/>
      <c r="N35" s="64"/>
      <c r="O35" s="64"/>
      <c r="P35" s="68"/>
      <c r="S35" s="94"/>
    </row>
    <row r="36" spans="1:19" s="58" customFormat="1" ht="29.85" customHeight="1" x14ac:dyDescent="0.25">
      <c r="A36" s="71">
        <v>15</v>
      </c>
      <c r="B36" s="91" t="s">
        <v>108</v>
      </c>
      <c r="C36" s="329" t="s">
        <v>152</v>
      </c>
      <c r="D36" s="330" t="s">
        <v>110</v>
      </c>
      <c r="E36" s="331">
        <f>3+2.9</f>
        <v>5.9</v>
      </c>
      <c r="F36" s="92"/>
      <c r="G36" s="64"/>
      <c r="H36" s="93"/>
      <c r="I36" s="64"/>
      <c r="J36" s="64"/>
      <c r="K36" s="66"/>
      <c r="L36" s="67"/>
      <c r="M36" s="64"/>
      <c r="N36" s="64"/>
      <c r="O36" s="64"/>
      <c r="P36" s="68"/>
      <c r="S36" s="94"/>
    </row>
    <row r="37" spans="1:19" s="58" customFormat="1" ht="29.85" customHeight="1" x14ac:dyDescent="0.25">
      <c r="A37" s="71">
        <v>16</v>
      </c>
      <c r="B37" s="91" t="s">
        <v>108</v>
      </c>
      <c r="C37" s="329" t="s">
        <v>153</v>
      </c>
      <c r="D37" s="330" t="s">
        <v>112</v>
      </c>
      <c r="E37" s="331">
        <v>2</v>
      </c>
      <c r="F37" s="92"/>
      <c r="G37" s="64"/>
      <c r="H37" s="93"/>
      <c r="I37" s="64"/>
      <c r="J37" s="64"/>
      <c r="K37" s="66"/>
      <c r="L37" s="67"/>
      <c r="M37" s="64"/>
      <c r="N37" s="64"/>
      <c r="O37" s="64"/>
      <c r="P37" s="68"/>
      <c r="S37" s="94"/>
    </row>
    <row r="38" spans="1:19" s="58" customFormat="1" ht="29.85" customHeight="1" x14ac:dyDescent="0.25">
      <c r="A38" s="71">
        <v>17</v>
      </c>
      <c r="B38" s="91" t="s">
        <v>108</v>
      </c>
      <c r="C38" s="329" t="s">
        <v>154</v>
      </c>
      <c r="D38" s="330" t="s">
        <v>112</v>
      </c>
      <c r="E38" s="331">
        <v>1</v>
      </c>
      <c r="F38" s="92"/>
      <c r="G38" s="64"/>
      <c r="H38" s="93"/>
      <c r="I38" s="64"/>
      <c r="J38" s="64"/>
      <c r="K38" s="66"/>
      <c r="L38" s="67"/>
      <c r="M38" s="64"/>
      <c r="N38" s="64"/>
      <c r="O38" s="64"/>
      <c r="P38" s="68"/>
      <c r="S38" s="94"/>
    </row>
    <row r="39" spans="1:19" s="58" customFormat="1" ht="20.85" customHeight="1" x14ac:dyDescent="0.25">
      <c r="A39" s="71">
        <v>18</v>
      </c>
      <c r="B39" s="91" t="s">
        <v>108</v>
      </c>
      <c r="C39" s="329" t="s">
        <v>155</v>
      </c>
      <c r="D39" s="330" t="s">
        <v>110</v>
      </c>
      <c r="E39" s="331">
        <f>1+2+2.8</f>
        <v>5.8</v>
      </c>
      <c r="F39" s="92"/>
      <c r="G39" s="64"/>
      <c r="H39" s="93"/>
      <c r="I39" s="64"/>
      <c r="J39" s="64"/>
      <c r="K39" s="66"/>
      <c r="L39" s="67"/>
      <c r="M39" s="64"/>
      <c r="N39" s="64"/>
      <c r="O39" s="64"/>
      <c r="P39" s="68"/>
      <c r="S39" s="94"/>
    </row>
    <row r="40" spans="1:19" s="58" customFormat="1" ht="53.25" customHeight="1" x14ac:dyDescent="0.25">
      <c r="A40" s="71">
        <v>19</v>
      </c>
      <c r="B40" s="91" t="s">
        <v>108</v>
      </c>
      <c r="C40" s="329" t="s">
        <v>156</v>
      </c>
      <c r="D40" s="330" t="s">
        <v>112</v>
      </c>
      <c r="E40" s="331">
        <v>5</v>
      </c>
      <c r="F40" s="92"/>
      <c r="G40" s="64"/>
      <c r="H40" s="93"/>
      <c r="I40" s="64"/>
      <c r="J40" s="64"/>
      <c r="K40" s="66"/>
      <c r="L40" s="67"/>
      <c r="M40" s="64"/>
      <c r="N40" s="64"/>
      <c r="O40" s="64"/>
      <c r="P40" s="68"/>
      <c r="S40" s="94"/>
    </row>
    <row r="41" spans="1:19" s="58" customFormat="1" ht="66.75" customHeight="1" x14ac:dyDescent="0.25">
      <c r="A41" s="71">
        <v>20</v>
      </c>
      <c r="B41" s="91" t="s">
        <v>108</v>
      </c>
      <c r="C41" s="329" t="s">
        <v>157</v>
      </c>
      <c r="D41" s="330" t="s">
        <v>112</v>
      </c>
      <c r="E41" s="331">
        <v>4</v>
      </c>
      <c r="F41" s="92"/>
      <c r="G41" s="64"/>
      <c r="H41" s="93"/>
      <c r="I41" s="64"/>
      <c r="J41" s="64"/>
      <c r="K41" s="66"/>
      <c r="L41" s="67"/>
      <c r="M41" s="64"/>
      <c r="N41" s="64"/>
      <c r="O41" s="64"/>
      <c r="P41" s="68"/>
      <c r="S41" s="94"/>
    </row>
    <row r="42" spans="1:19" s="58" customFormat="1" ht="18.600000000000001" customHeight="1" x14ac:dyDescent="0.25">
      <c r="A42" s="71">
        <v>21</v>
      </c>
      <c r="B42" s="91" t="s">
        <v>108</v>
      </c>
      <c r="C42" s="329" t="s">
        <v>158</v>
      </c>
      <c r="D42" s="330" t="s">
        <v>124</v>
      </c>
      <c r="E42" s="331">
        <f>(12+22)*0.5</f>
        <v>17</v>
      </c>
      <c r="F42" s="92"/>
      <c r="G42" s="64"/>
      <c r="H42" s="93"/>
      <c r="I42" s="64"/>
      <c r="J42" s="64"/>
      <c r="K42" s="66"/>
      <c r="L42" s="67"/>
      <c r="M42" s="64"/>
      <c r="N42" s="64"/>
      <c r="O42" s="64"/>
      <c r="P42" s="68"/>
      <c r="S42" s="94"/>
    </row>
    <row r="43" spans="1:19" s="58" customFormat="1" ht="18.600000000000001" customHeight="1" x14ac:dyDescent="0.25">
      <c r="A43" s="71">
        <v>22</v>
      </c>
      <c r="B43" s="91" t="s">
        <v>108</v>
      </c>
      <c r="C43" s="329" t="s">
        <v>159</v>
      </c>
      <c r="D43" s="330" t="s">
        <v>110</v>
      </c>
      <c r="E43" s="331">
        <f>11*2+22*2-2-1-4</f>
        <v>59</v>
      </c>
      <c r="F43" s="92"/>
      <c r="G43" s="64"/>
      <c r="H43" s="93"/>
      <c r="I43" s="64"/>
      <c r="J43" s="64"/>
      <c r="K43" s="66"/>
      <c r="L43" s="67"/>
      <c r="M43" s="64"/>
      <c r="N43" s="64"/>
      <c r="O43" s="64"/>
      <c r="P43" s="68"/>
      <c r="S43" s="94"/>
    </row>
    <row r="44" spans="1:19" s="58" customFormat="1" ht="18.600000000000001" customHeight="1" x14ac:dyDescent="0.25">
      <c r="A44" s="71">
        <v>23</v>
      </c>
      <c r="B44" s="91" t="s">
        <v>108</v>
      </c>
      <c r="C44" s="329" t="s">
        <v>160</v>
      </c>
      <c r="D44" s="330" t="s">
        <v>124</v>
      </c>
      <c r="E44" s="331">
        <f>106+44</f>
        <v>150</v>
      </c>
      <c r="F44" s="92"/>
      <c r="G44" s="64"/>
      <c r="H44" s="93"/>
      <c r="I44" s="64"/>
      <c r="J44" s="64"/>
      <c r="K44" s="66"/>
      <c r="L44" s="67"/>
      <c r="M44" s="64"/>
      <c r="N44" s="64"/>
      <c r="O44" s="64"/>
      <c r="P44" s="68"/>
      <c r="S44" s="94"/>
    </row>
    <row r="45" spans="1:19" s="58" customFormat="1" ht="18.600000000000001" customHeight="1" x14ac:dyDescent="0.25">
      <c r="A45" s="71">
        <v>24</v>
      </c>
      <c r="B45" s="91" t="s">
        <v>108</v>
      </c>
      <c r="C45" s="329" t="s">
        <v>161</v>
      </c>
      <c r="D45" s="330" t="s">
        <v>162</v>
      </c>
      <c r="E45" s="331">
        <f>2+2</f>
        <v>4</v>
      </c>
      <c r="F45" s="92"/>
      <c r="G45" s="64"/>
      <c r="H45" s="93"/>
      <c r="I45" s="64"/>
      <c r="J45" s="64"/>
      <c r="K45" s="66"/>
      <c r="L45" s="67"/>
      <c r="M45" s="64"/>
      <c r="N45" s="64"/>
      <c r="O45" s="64"/>
      <c r="P45" s="68"/>
      <c r="S45" s="94"/>
    </row>
    <row r="46" spans="1:19" s="58" customFormat="1" ht="18.600000000000001" customHeight="1" x14ac:dyDescent="0.25">
      <c r="A46" s="71">
        <v>25</v>
      </c>
      <c r="B46" s="91" t="s">
        <v>108</v>
      </c>
      <c r="C46" s="329" t="s">
        <v>163</v>
      </c>
      <c r="D46" s="330" t="s">
        <v>110</v>
      </c>
      <c r="E46" s="331">
        <v>6</v>
      </c>
      <c r="F46" s="92"/>
      <c r="G46" s="64"/>
      <c r="H46" s="93"/>
      <c r="I46" s="64"/>
      <c r="J46" s="64"/>
      <c r="K46" s="66"/>
      <c r="L46" s="67"/>
      <c r="M46" s="64"/>
      <c r="N46" s="64"/>
      <c r="O46" s="64"/>
      <c r="P46" s="68"/>
      <c r="S46" s="94"/>
    </row>
    <row r="47" spans="1:19" s="58" customFormat="1" ht="28.35" customHeight="1" x14ac:dyDescent="0.25">
      <c r="A47" s="71">
        <v>26</v>
      </c>
      <c r="B47" s="91" t="s">
        <v>108</v>
      </c>
      <c r="C47" s="329" t="s">
        <v>164</v>
      </c>
      <c r="D47" s="330" t="s">
        <v>124</v>
      </c>
      <c r="E47" s="331">
        <f>18*2.4*2</f>
        <v>86.399999999999991</v>
      </c>
      <c r="F47" s="92"/>
      <c r="G47" s="64"/>
      <c r="H47" s="93"/>
      <c r="I47" s="64"/>
      <c r="J47" s="64"/>
      <c r="K47" s="66"/>
      <c r="L47" s="67"/>
      <c r="M47" s="64"/>
      <c r="N47" s="64"/>
      <c r="O47" s="64"/>
      <c r="P47" s="68"/>
      <c r="S47" s="94"/>
    </row>
    <row r="48" spans="1:19" s="58" customFormat="1" ht="18.600000000000001" customHeight="1" x14ac:dyDescent="0.25">
      <c r="A48" s="71">
        <v>27</v>
      </c>
      <c r="B48" s="91" t="s">
        <v>108</v>
      </c>
      <c r="C48" s="329" t="s">
        <v>165</v>
      </c>
      <c r="D48" s="330" t="s">
        <v>124</v>
      </c>
      <c r="E48" s="331">
        <f>(22*2+10.4*2-2-2-4)*0.5</f>
        <v>28.4</v>
      </c>
      <c r="F48" s="92"/>
      <c r="G48" s="64"/>
      <c r="H48" s="93"/>
      <c r="I48" s="64"/>
      <c r="J48" s="64"/>
      <c r="K48" s="66"/>
      <c r="L48" s="67"/>
      <c r="M48" s="64"/>
      <c r="N48" s="64"/>
      <c r="O48" s="64"/>
      <c r="P48" s="68"/>
      <c r="S48" s="94"/>
    </row>
    <row r="49" spans="1:19" s="58" customFormat="1" ht="18.600000000000001" customHeight="1" x14ac:dyDescent="0.25">
      <c r="A49" s="71">
        <v>28</v>
      </c>
      <c r="B49" s="91" t="s">
        <v>108</v>
      </c>
      <c r="C49" s="329" t="s">
        <v>166</v>
      </c>
      <c r="D49" s="330" t="s">
        <v>124</v>
      </c>
      <c r="E49" s="331">
        <f>16.5</f>
        <v>16.5</v>
      </c>
      <c r="F49" s="92"/>
      <c r="G49" s="64"/>
      <c r="H49" s="93"/>
      <c r="I49" s="64"/>
      <c r="J49" s="64"/>
      <c r="K49" s="66"/>
      <c r="L49" s="67"/>
      <c r="M49" s="64"/>
      <c r="N49" s="64"/>
      <c r="O49" s="64"/>
      <c r="P49" s="68"/>
      <c r="S49" s="94"/>
    </row>
    <row r="50" spans="1:19" s="58" customFormat="1" ht="18.600000000000001" customHeight="1" x14ac:dyDescent="0.25">
      <c r="A50" s="71">
        <v>29</v>
      </c>
      <c r="B50" s="91" t="s">
        <v>108</v>
      </c>
      <c r="C50" s="329" t="s">
        <v>167</v>
      </c>
      <c r="D50" s="330" t="s">
        <v>124</v>
      </c>
      <c r="E50" s="331">
        <v>3.5</v>
      </c>
      <c r="F50" s="92"/>
      <c r="G50" s="64"/>
      <c r="H50" s="93"/>
      <c r="I50" s="74"/>
      <c r="J50" s="64"/>
      <c r="K50" s="66"/>
      <c r="L50" s="67"/>
      <c r="M50" s="64"/>
      <c r="N50" s="64"/>
      <c r="O50" s="64"/>
      <c r="P50" s="68"/>
      <c r="S50" s="94"/>
    </row>
    <row r="51" spans="1:19" s="58" customFormat="1" ht="18.600000000000001" customHeight="1" x14ac:dyDescent="0.25">
      <c r="A51" s="71">
        <v>30</v>
      </c>
      <c r="B51" s="91" t="s">
        <v>108</v>
      </c>
      <c r="C51" s="329" t="s">
        <v>168</v>
      </c>
      <c r="D51" s="330" t="s">
        <v>114</v>
      </c>
      <c r="E51" s="331">
        <v>2</v>
      </c>
      <c r="F51" s="92"/>
      <c r="G51" s="64"/>
      <c r="H51" s="93"/>
      <c r="I51" s="74"/>
      <c r="J51" s="64"/>
      <c r="K51" s="66"/>
      <c r="L51" s="67"/>
      <c r="M51" s="64"/>
      <c r="N51" s="64"/>
      <c r="O51" s="64"/>
      <c r="P51" s="68"/>
      <c r="S51" s="94"/>
    </row>
    <row r="52" spans="1:19" s="58" customFormat="1" ht="27.6" customHeight="1" x14ac:dyDescent="0.25">
      <c r="A52" s="71">
        <v>31</v>
      </c>
      <c r="B52" s="91" t="s">
        <v>108</v>
      </c>
      <c r="C52" s="329" t="s">
        <v>235</v>
      </c>
      <c r="D52" s="330" t="s">
        <v>124</v>
      </c>
      <c r="E52" s="331">
        <f>8*1+2*1+5*6*1+6*1+4.5*1</f>
        <v>50.5</v>
      </c>
      <c r="F52" s="92"/>
      <c r="G52" s="64"/>
      <c r="H52" s="93"/>
      <c r="I52" s="64"/>
      <c r="J52" s="64"/>
      <c r="K52" s="66"/>
      <c r="L52" s="67"/>
      <c r="M52" s="64"/>
      <c r="N52" s="64"/>
      <c r="O52" s="64"/>
      <c r="P52" s="68"/>
      <c r="S52" s="94"/>
    </row>
    <row r="53" spans="1:19" s="58" customFormat="1" ht="14.25" customHeight="1" x14ac:dyDescent="0.25">
      <c r="A53" s="71">
        <v>32</v>
      </c>
      <c r="B53" s="91" t="s">
        <v>108</v>
      </c>
      <c r="C53" s="329" t="s">
        <v>236</v>
      </c>
      <c r="D53" s="330" t="s">
        <v>110</v>
      </c>
      <c r="E53" s="331">
        <f>50.5*2</f>
        <v>101</v>
      </c>
      <c r="F53" s="92"/>
      <c r="G53" s="64"/>
      <c r="H53" s="93"/>
      <c r="I53" s="64"/>
      <c r="J53" s="64"/>
      <c r="K53" s="66"/>
      <c r="L53" s="67"/>
      <c r="M53" s="64"/>
      <c r="N53" s="64"/>
      <c r="O53" s="64"/>
      <c r="P53" s="68"/>
      <c r="S53" s="94"/>
    </row>
    <row r="54" spans="1:19" s="58" customFormat="1" ht="25.9" customHeight="1" x14ac:dyDescent="0.25">
      <c r="A54" s="71">
        <v>33</v>
      </c>
      <c r="B54" s="91" t="s">
        <v>108</v>
      </c>
      <c r="C54" s="332" t="s">
        <v>237</v>
      </c>
      <c r="D54" s="333" t="s">
        <v>124</v>
      </c>
      <c r="E54" s="334">
        <f>E52</f>
        <v>50.5</v>
      </c>
      <c r="F54" s="92"/>
      <c r="G54" s="64"/>
      <c r="H54" s="93"/>
      <c r="I54" s="64"/>
      <c r="J54" s="64"/>
      <c r="K54" s="66"/>
      <c r="L54" s="67"/>
      <c r="M54" s="64"/>
      <c r="N54" s="64"/>
      <c r="O54" s="64"/>
      <c r="P54" s="68"/>
      <c r="S54" s="94"/>
    </row>
    <row r="55" spans="1:19" s="58" customFormat="1" ht="15" customHeight="1" x14ac:dyDescent="0.25">
      <c r="A55" s="71">
        <v>34</v>
      </c>
      <c r="B55" s="91" t="s">
        <v>108</v>
      </c>
      <c r="C55" s="329" t="s">
        <v>169</v>
      </c>
      <c r="D55" s="330" t="s">
        <v>127</v>
      </c>
      <c r="E55" s="331">
        <v>16</v>
      </c>
      <c r="F55" s="92"/>
      <c r="G55" s="64"/>
      <c r="H55" s="93"/>
      <c r="I55" s="74"/>
      <c r="J55" s="64"/>
      <c r="K55" s="66"/>
      <c r="L55" s="67"/>
      <c r="M55" s="64"/>
      <c r="N55" s="64"/>
      <c r="O55" s="64"/>
      <c r="P55" s="68"/>
      <c r="S55" s="94"/>
    </row>
    <row r="56" spans="1:19" s="58" customFormat="1" ht="27" customHeight="1" x14ac:dyDescent="0.25">
      <c r="A56" s="71">
        <v>35</v>
      </c>
      <c r="B56" s="91" t="s">
        <v>108</v>
      </c>
      <c r="C56" s="329" t="s">
        <v>170</v>
      </c>
      <c r="D56" s="330" t="s">
        <v>171</v>
      </c>
      <c r="E56" s="331">
        <f>(E22*1.8*6*0.06+E24*0.25*0.04+E25*2*0.06+E26*2*0.05+E28*0.05+E29*0.8*0.025+E33*2.5*0.15+E35*0.15+E37*2.8+E38*4.5+E42*0.06+E43*0.6*0.08+E44*0.15+E45*0.25*2+E47*0.02+E48*0.02+E49*0.06+E50*0.06)*1.2</f>
        <v>96.165577199999973</v>
      </c>
      <c r="F56" s="92"/>
      <c r="G56" s="64"/>
      <c r="H56" s="93"/>
      <c r="I56" s="74"/>
      <c r="J56" s="64"/>
      <c r="K56" s="66"/>
      <c r="L56" s="67"/>
      <c r="M56" s="64"/>
      <c r="N56" s="64"/>
      <c r="O56" s="64"/>
      <c r="P56" s="68"/>
      <c r="S56" s="94"/>
    </row>
    <row r="57" spans="1:19" ht="28.5" customHeight="1" x14ac:dyDescent="0.25">
      <c r="A57" s="116"/>
      <c r="B57" s="117"/>
      <c r="C57" s="335" t="s">
        <v>601</v>
      </c>
      <c r="D57" s="336"/>
      <c r="E57" s="337"/>
      <c r="F57" s="116"/>
      <c r="G57" s="117"/>
      <c r="H57" s="117"/>
      <c r="I57" s="117"/>
      <c r="J57" s="117"/>
      <c r="K57" s="118"/>
      <c r="L57" s="119"/>
      <c r="M57" s="117"/>
      <c r="N57" s="117"/>
      <c r="O57" s="117"/>
      <c r="P57" s="118"/>
    </row>
    <row r="58" spans="1:19" s="58" customFormat="1" ht="18.600000000000001" customHeight="1" x14ac:dyDescent="0.25">
      <c r="A58" s="71">
        <v>1</v>
      </c>
      <c r="B58" s="91" t="s">
        <v>108</v>
      </c>
      <c r="C58" s="329" t="s">
        <v>590</v>
      </c>
      <c r="D58" s="330" t="s">
        <v>124</v>
      </c>
      <c r="E58" s="331">
        <v>68.98</v>
      </c>
      <c r="F58" s="92"/>
      <c r="G58" s="64"/>
      <c r="H58" s="93"/>
      <c r="I58" s="64"/>
      <c r="J58" s="64"/>
      <c r="K58" s="66"/>
      <c r="L58" s="67"/>
      <c r="M58" s="64"/>
      <c r="N58" s="64"/>
      <c r="O58" s="64"/>
      <c r="P58" s="68"/>
      <c r="S58" s="94"/>
    </row>
    <row r="59" spans="1:19" s="58" customFormat="1" ht="18.600000000000001" customHeight="1" x14ac:dyDescent="0.25">
      <c r="A59" s="71">
        <v>2</v>
      </c>
      <c r="B59" s="91" t="s">
        <v>108</v>
      </c>
      <c r="C59" s="329" t="s">
        <v>591</v>
      </c>
      <c r="D59" s="330" t="s">
        <v>124</v>
      </c>
      <c r="E59" s="331">
        <f>E58</f>
        <v>68.98</v>
      </c>
      <c r="F59" s="92"/>
      <c r="G59" s="64"/>
      <c r="H59" s="93"/>
      <c r="I59" s="64"/>
      <c r="J59" s="64"/>
      <c r="K59" s="66"/>
      <c r="L59" s="67"/>
      <c r="M59" s="64"/>
      <c r="N59" s="64"/>
      <c r="O59" s="64"/>
      <c r="P59" s="68"/>
      <c r="S59" s="94"/>
    </row>
    <row r="60" spans="1:19" s="58" customFormat="1" ht="18.600000000000001" customHeight="1" x14ac:dyDescent="0.25">
      <c r="A60" s="71">
        <v>3</v>
      </c>
      <c r="B60" s="91" t="s">
        <v>108</v>
      </c>
      <c r="C60" s="329" t="s">
        <v>592</v>
      </c>
      <c r="D60" s="330" t="s">
        <v>124</v>
      </c>
      <c r="E60" s="331">
        <f>E58</f>
        <v>68.98</v>
      </c>
      <c r="F60" s="92"/>
      <c r="G60" s="64"/>
      <c r="H60" s="93"/>
      <c r="I60" s="74"/>
      <c r="J60" s="64"/>
      <c r="K60" s="66"/>
      <c r="L60" s="67"/>
      <c r="M60" s="64"/>
      <c r="N60" s="64"/>
      <c r="O60" s="64"/>
      <c r="P60" s="68"/>
      <c r="S60" s="94"/>
    </row>
    <row r="61" spans="1:19" s="58" customFormat="1" ht="18.600000000000001" customHeight="1" x14ac:dyDescent="0.25">
      <c r="A61" s="71">
        <v>4</v>
      </c>
      <c r="B61" s="91" t="s">
        <v>108</v>
      </c>
      <c r="C61" s="329" t="s">
        <v>593</v>
      </c>
      <c r="D61" s="330" t="s">
        <v>124</v>
      </c>
      <c r="E61" s="331">
        <f>E58</f>
        <v>68.98</v>
      </c>
      <c r="F61" s="92"/>
      <c r="G61" s="64"/>
      <c r="H61" s="93"/>
      <c r="I61" s="74"/>
      <c r="J61" s="64"/>
      <c r="K61" s="66"/>
      <c r="L61" s="67"/>
      <c r="M61" s="64"/>
      <c r="N61" s="64"/>
      <c r="O61" s="64"/>
      <c r="P61" s="68"/>
      <c r="S61" s="94"/>
    </row>
    <row r="62" spans="1:19" s="58" customFormat="1" ht="35.25" customHeight="1" x14ac:dyDescent="0.25">
      <c r="A62" s="71">
        <v>5</v>
      </c>
      <c r="B62" s="91" t="s">
        <v>108</v>
      </c>
      <c r="C62" s="329" t="s">
        <v>594</v>
      </c>
      <c r="D62" s="330" t="s">
        <v>124</v>
      </c>
      <c r="E62" s="331">
        <f>E58</f>
        <v>68.98</v>
      </c>
      <c r="F62" s="92"/>
      <c r="G62" s="64"/>
      <c r="H62" s="93"/>
      <c r="I62" s="64"/>
      <c r="J62" s="64"/>
      <c r="K62" s="66"/>
      <c r="L62" s="67"/>
      <c r="M62" s="64"/>
      <c r="N62" s="64"/>
      <c r="O62" s="64"/>
      <c r="P62" s="68"/>
      <c r="S62" s="94"/>
    </row>
    <row r="63" spans="1:19" s="58" customFormat="1" ht="15" customHeight="1" x14ac:dyDescent="0.25">
      <c r="A63" s="71">
        <v>6</v>
      </c>
      <c r="B63" s="91" t="s">
        <v>108</v>
      </c>
      <c r="C63" s="329" t="s">
        <v>169</v>
      </c>
      <c r="D63" s="330" t="s">
        <v>127</v>
      </c>
      <c r="E63" s="331">
        <v>16</v>
      </c>
      <c r="F63" s="92"/>
      <c r="G63" s="64"/>
      <c r="H63" s="93"/>
      <c r="I63" s="74"/>
      <c r="J63" s="64"/>
      <c r="K63" s="66"/>
      <c r="L63" s="67"/>
      <c r="M63" s="64"/>
      <c r="N63" s="64"/>
      <c r="O63" s="64"/>
      <c r="P63" s="68"/>
      <c r="S63" s="94"/>
    </row>
    <row r="64" spans="1:19" s="58" customFormat="1" ht="27" customHeight="1" x14ac:dyDescent="0.25">
      <c r="A64" s="71">
        <v>7</v>
      </c>
      <c r="B64" s="91" t="s">
        <v>108</v>
      </c>
      <c r="C64" s="329" t="s">
        <v>170</v>
      </c>
      <c r="D64" s="330" t="s">
        <v>171</v>
      </c>
      <c r="E64" s="331">
        <f>E58*0.012+E59*0.037+E60*0.04+E61*0.025+E62*0.2*0.2*0.075*1.5</f>
        <v>8.1741299999999999</v>
      </c>
      <c r="F64" s="92"/>
      <c r="G64" s="64"/>
      <c r="H64" s="93"/>
      <c r="I64" s="74"/>
      <c r="J64" s="64"/>
      <c r="K64" s="66"/>
      <c r="L64" s="67"/>
      <c r="M64" s="64"/>
      <c r="N64" s="64"/>
      <c r="O64" s="64"/>
      <c r="P64" s="68"/>
      <c r="S64" s="94"/>
    </row>
    <row r="65" spans="1:19" ht="28.5" customHeight="1" x14ac:dyDescent="0.25">
      <c r="A65" s="116"/>
      <c r="B65" s="117"/>
      <c r="C65" s="335" t="s">
        <v>600</v>
      </c>
      <c r="D65" s="336"/>
      <c r="E65" s="337"/>
      <c r="F65" s="116"/>
      <c r="G65" s="117"/>
      <c r="H65" s="117"/>
      <c r="I65" s="117"/>
      <c r="J65" s="117"/>
      <c r="K65" s="118"/>
      <c r="L65" s="119"/>
      <c r="M65" s="117"/>
      <c r="N65" s="117"/>
      <c r="O65" s="117"/>
      <c r="P65" s="118"/>
    </row>
    <row r="66" spans="1:19" s="58" customFormat="1" ht="33" customHeight="1" x14ac:dyDescent="0.25">
      <c r="A66" s="71">
        <v>1</v>
      </c>
      <c r="B66" s="91" t="s">
        <v>108</v>
      </c>
      <c r="C66" s="329" t="s">
        <v>595</v>
      </c>
      <c r="D66" s="330" t="s">
        <v>124</v>
      </c>
      <c r="E66" s="331">
        <f>100.84</f>
        <v>100.84</v>
      </c>
      <c r="F66" s="92"/>
      <c r="G66" s="64"/>
      <c r="H66" s="93"/>
      <c r="I66" s="74"/>
      <c r="J66" s="64"/>
      <c r="K66" s="66"/>
      <c r="L66" s="67"/>
      <c r="M66" s="64"/>
      <c r="N66" s="64"/>
      <c r="O66" s="64"/>
      <c r="P66" s="68"/>
      <c r="S66" s="94"/>
    </row>
    <row r="67" spans="1:19" s="58" customFormat="1" ht="18.600000000000001" customHeight="1" x14ac:dyDescent="0.25">
      <c r="A67" s="71">
        <v>2</v>
      </c>
      <c r="B67" s="91" t="s">
        <v>108</v>
      </c>
      <c r="C67" s="329" t="s">
        <v>597</v>
      </c>
      <c r="D67" s="330" t="s">
        <v>124</v>
      </c>
      <c r="E67" s="331">
        <f>E66</f>
        <v>100.84</v>
      </c>
      <c r="F67" s="92"/>
      <c r="G67" s="64"/>
      <c r="H67" s="93"/>
      <c r="I67" s="74"/>
      <c r="J67" s="64"/>
      <c r="K67" s="66"/>
      <c r="L67" s="67"/>
      <c r="M67" s="64"/>
      <c r="N67" s="64"/>
      <c r="O67" s="64"/>
      <c r="P67" s="68"/>
      <c r="S67" s="94"/>
    </row>
    <row r="68" spans="1:19" s="58" customFormat="1" ht="18.600000000000001" customHeight="1" x14ac:dyDescent="0.25">
      <c r="A68" s="71">
        <v>3</v>
      </c>
      <c r="B68" s="91" t="s">
        <v>108</v>
      </c>
      <c r="C68" s="329" t="s">
        <v>598</v>
      </c>
      <c r="D68" s="330" t="s">
        <v>124</v>
      </c>
      <c r="E68" s="331">
        <f>E67</f>
        <v>100.84</v>
      </c>
      <c r="F68" s="92"/>
      <c r="G68" s="64"/>
      <c r="H68" s="93"/>
      <c r="I68" s="74"/>
      <c r="J68" s="64"/>
      <c r="K68" s="66"/>
      <c r="L68" s="67"/>
      <c r="M68" s="64"/>
      <c r="N68" s="64"/>
      <c r="O68" s="64"/>
      <c r="P68" s="68"/>
      <c r="S68" s="94"/>
    </row>
    <row r="69" spans="1:19" s="58" customFormat="1" ht="18.600000000000001" customHeight="1" x14ac:dyDescent="0.25">
      <c r="A69" s="71">
        <v>4</v>
      </c>
      <c r="B69" s="91" t="s">
        <v>108</v>
      </c>
      <c r="C69" s="329" t="s">
        <v>599</v>
      </c>
      <c r="D69" s="330" t="s">
        <v>124</v>
      </c>
      <c r="E69" s="331">
        <f>E68</f>
        <v>100.84</v>
      </c>
      <c r="F69" s="92"/>
      <c r="G69" s="64"/>
      <c r="H69" s="93"/>
      <c r="I69" s="74"/>
      <c r="J69" s="64"/>
      <c r="K69" s="66"/>
      <c r="L69" s="67"/>
      <c r="M69" s="64"/>
      <c r="N69" s="64"/>
      <c r="O69" s="64"/>
      <c r="P69" s="68"/>
      <c r="S69" s="94"/>
    </row>
    <row r="70" spans="1:19" s="58" customFormat="1" ht="15" customHeight="1" x14ac:dyDescent="0.25">
      <c r="A70" s="71">
        <v>5</v>
      </c>
      <c r="B70" s="91" t="s">
        <v>108</v>
      </c>
      <c r="C70" s="329" t="s">
        <v>169</v>
      </c>
      <c r="D70" s="330" t="s">
        <v>127</v>
      </c>
      <c r="E70" s="331">
        <v>16</v>
      </c>
      <c r="F70" s="92"/>
      <c r="G70" s="64"/>
      <c r="H70" s="93"/>
      <c r="I70" s="74"/>
      <c r="J70" s="64"/>
      <c r="K70" s="66"/>
      <c r="L70" s="67"/>
      <c r="M70" s="64"/>
      <c r="N70" s="64"/>
      <c r="O70" s="64"/>
      <c r="P70" s="68"/>
      <c r="S70" s="94"/>
    </row>
    <row r="71" spans="1:19" s="58" customFormat="1" ht="27" customHeight="1" x14ac:dyDescent="0.25">
      <c r="A71" s="71">
        <v>6</v>
      </c>
      <c r="B71" s="91" t="s">
        <v>108</v>
      </c>
      <c r="C71" s="329" t="s">
        <v>170</v>
      </c>
      <c r="D71" s="330" t="s">
        <v>171</v>
      </c>
      <c r="E71" s="331">
        <f>E66*0.37</f>
        <v>37.3108</v>
      </c>
      <c r="F71" s="92"/>
      <c r="G71" s="64"/>
      <c r="H71" s="93"/>
      <c r="I71" s="74"/>
      <c r="J71" s="64"/>
      <c r="K71" s="66"/>
      <c r="L71" s="67"/>
      <c r="M71" s="64"/>
      <c r="N71" s="64"/>
      <c r="O71" s="64"/>
      <c r="P71" s="68"/>
      <c r="S71" s="94"/>
    </row>
    <row r="72" spans="1:19" x14ac:dyDescent="0.25">
      <c r="A72" s="82"/>
      <c r="B72" s="83"/>
      <c r="C72" s="83"/>
      <c r="D72" s="83"/>
      <c r="E72" s="84"/>
      <c r="F72" s="82"/>
      <c r="G72" s="83"/>
      <c r="H72" s="83"/>
      <c r="I72" s="83"/>
      <c r="J72" s="83"/>
      <c r="K72" s="85"/>
      <c r="L72" s="86"/>
      <c r="M72" s="83"/>
      <c r="N72" s="83"/>
      <c r="O72" s="83"/>
      <c r="P72" s="85"/>
    </row>
    <row r="73" spans="1:19" ht="15.75" customHeight="1" x14ac:dyDescent="0.25">
      <c r="A73" s="87"/>
      <c r="B73" s="88"/>
      <c r="C73" s="419" t="s">
        <v>136</v>
      </c>
      <c r="D73" s="419"/>
      <c r="E73" s="419"/>
      <c r="F73" s="419"/>
      <c r="G73" s="419"/>
      <c r="H73" s="419"/>
      <c r="I73" s="419"/>
      <c r="J73" s="419"/>
      <c r="K73" s="419"/>
      <c r="L73" s="89">
        <f>SUM(L21:L72)</f>
        <v>0</v>
      </c>
      <c r="M73" s="90">
        <f>SUM(M21:M72)</f>
        <v>0</v>
      </c>
      <c r="N73" s="90">
        <f>SUM(N21:N72)</f>
        <v>0</v>
      </c>
      <c r="O73" s="90">
        <f>SUM(O21:O72)</f>
        <v>0</v>
      </c>
      <c r="P73" s="21">
        <f>SUM(P21:P72)</f>
        <v>0</v>
      </c>
    </row>
    <row r="75" spans="1:19" x14ac:dyDescent="0.25">
      <c r="B75" s="1" t="s">
        <v>26</v>
      </c>
      <c r="C75" s="6">
        <f>KOPTAME!C58</f>
        <v>0</v>
      </c>
      <c r="E75" s="34">
        <f>'KOPS 1'!F42</f>
        <v>0</v>
      </c>
    </row>
    <row r="76" spans="1:19" x14ac:dyDescent="0.25">
      <c r="C76" s="32" t="s">
        <v>86</v>
      </c>
      <c r="E76" s="2"/>
    </row>
    <row r="77" spans="1:19" x14ac:dyDescent="0.25">
      <c r="E77" s="2"/>
    </row>
    <row r="78" spans="1:19" x14ac:dyDescent="0.25">
      <c r="B78" s="5"/>
      <c r="C78" s="33"/>
      <c r="D78" s="2"/>
      <c r="E78" s="2"/>
      <c r="F78" s="42"/>
    </row>
    <row r="79" spans="1:19" x14ac:dyDescent="0.25">
      <c r="E79" s="2"/>
    </row>
    <row r="80" spans="1:19" x14ac:dyDescent="0.25">
      <c r="B80" s="1" t="s">
        <v>28</v>
      </c>
      <c r="C80" s="6">
        <f>KOPTAME!C63</f>
        <v>0</v>
      </c>
      <c r="E80" s="34">
        <f>E75</f>
        <v>0</v>
      </c>
    </row>
    <row r="81" spans="3:3" x14ac:dyDescent="0.25">
      <c r="C81" s="32" t="s">
        <v>86</v>
      </c>
    </row>
    <row r="83" spans="3:3" x14ac:dyDescent="0.25">
      <c r="C83" s="1">
        <f>KOPTAME!C68</f>
        <v>0</v>
      </c>
    </row>
    <row r="85" spans="3:3" x14ac:dyDescent="0.25">
      <c r="C85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73:K73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MJ56"/>
  <sheetViews>
    <sheetView view="pageBreakPreview" topLeftCell="A16" zoomScaleNormal="100" workbookViewId="0">
      <selection activeCell="L32" sqref="L32"/>
    </sheetView>
  </sheetViews>
  <sheetFormatPr defaultColWidth="9.140625" defaultRowHeight="15" x14ac:dyDescent="0.25"/>
  <cols>
    <col min="1" max="1" width="7.7109375" style="1" customWidth="1"/>
    <col min="2" max="2" width="9.140625" style="1"/>
    <col min="3" max="3" width="33.7109375" style="1" customWidth="1"/>
    <col min="4" max="4" width="9.140625" style="1"/>
    <col min="5" max="5" width="8" style="1" customWidth="1"/>
    <col min="6" max="11" width="7.140625" style="1" customWidth="1"/>
    <col min="12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x14ac:dyDescent="0.25">
      <c r="E3" s="426" t="s">
        <v>88</v>
      </c>
      <c r="F3" s="426"/>
      <c r="G3" s="426"/>
      <c r="H3" s="426"/>
      <c r="I3" s="41" t="s">
        <v>49</v>
      </c>
    </row>
    <row r="4" spans="1:16" x14ac:dyDescent="0.25">
      <c r="D4" s="415" t="s">
        <v>50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>
        <f>P44</f>
        <v>0</v>
      </c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8" spans="1:19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9" ht="65.25" customHeight="1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9" x14ac:dyDescent="0.25">
      <c r="A20" s="95">
        <v>1</v>
      </c>
      <c r="B20" s="96">
        <v>2</v>
      </c>
      <c r="C20" s="96">
        <v>3</v>
      </c>
      <c r="D20" s="96">
        <v>4</v>
      </c>
      <c r="E20" s="97">
        <v>5</v>
      </c>
      <c r="F20" s="95">
        <v>6</v>
      </c>
      <c r="G20" s="96">
        <v>7</v>
      </c>
      <c r="H20" s="96">
        <v>8</v>
      </c>
      <c r="I20" s="96">
        <v>9</v>
      </c>
      <c r="J20" s="96">
        <v>10</v>
      </c>
      <c r="K20" s="98">
        <v>11</v>
      </c>
      <c r="L20" s="99">
        <v>12</v>
      </c>
      <c r="M20" s="96">
        <v>13</v>
      </c>
      <c r="N20" s="96">
        <v>14</v>
      </c>
      <c r="O20" s="96">
        <v>15</v>
      </c>
      <c r="P20" s="98">
        <v>16</v>
      </c>
    </row>
    <row r="21" spans="1:19" s="58" customFormat="1" ht="15.6" customHeight="1" x14ac:dyDescent="0.25">
      <c r="A21" s="100"/>
      <c r="B21" s="101"/>
      <c r="C21" s="338" t="s">
        <v>172</v>
      </c>
      <c r="D21" s="339"/>
      <c r="E21" s="340"/>
      <c r="F21" s="102"/>
      <c r="G21" s="103"/>
      <c r="H21" s="104"/>
      <c r="I21" s="104"/>
      <c r="J21" s="104"/>
      <c r="K21" s="105"/>
      <c r="L21" s="106"/>
      <c r="M21" s="104"/>
      <c r="N21" s="104"/>
      <c r="O21" s="104"/>
      <c r="P21" s="107"/>
    </row>
    <row r="22" spans="1:19" s="58" customFormat="1" ht="30" customHeight="1" x14ac:dyDescent="0.25">
      <c r="A22" s="71">
        <v>1</v>
      </c>
      <c r="B22" s="91" t="s">
        <v>108</v>
      </c>
      <c r="C22" s="329" t="s">
        <v>173</v>
      </c>
      <c r="D22" s="330" t="s">
        <v>110</v>
      </c>
      <c r="E22" s="331">
        <f>21.977*2+10.4*2+0.35*4-8-2.5</f>
        <v>55.654000000000011</v>
      </c>
      <c r="F22" s="92"/>
      <c r="G22" s="64"/>
      <c r="H22" s="93"/>
      <c r="I22" s="64"/>
      <c r="J22" s="64"/>
      <c r="K22" s="66"/>
      <c r="L22" s="67"/>
      <c r="M22" s="64"/>
      <c r="N22" s="64"/>
      <c r="O22" s="64"/>
      <c r="P22" s="68"/>
      <c r="S22" s="94"/>
    </row>
    <row r="23" spans="1:19" s="58" customFormat="1" ht="15" customHeight="1" x14ac:dyDescent="0.25">
      <c r="A23" s="71">
        <v>2</v>
      </c>
      <c r="B23" s="91" t="s">
        <v>108</v>
      </c>
      <c r="C23" s="329" t="s">
        <v>174</v>
      </c>
      <c r="D23" s="330" t="s">
        <v>124</v>
      </c>
      <c r="E23" s="331">
        <f>E22*0.9</f>
        <v>50.088600000000014</v>
      </c>
      <c r="F23" s="92"/>
      <c r="G23" s="64"/>
      <c r="H23" s="93"/>
      <c r="I23" s="64"/>
      <c r="J23" s="64"/>
      <c r="K23" s="66"/>
      <c r="L23" s="67"/>
      <c r="M23" s="64"/>
      <c r="N23" s="64"/>
      <c r="O23" s="64"/>
      <c r="P23" s="68"/>
      <c r="S23" s="94"/>
    </row>
    <row r="24" spans="1:19" s="58" customFormat="1" ht="26.45" customHeight="1" x14ac:dyDescent="0.25">
      <c r="A24" s="71">
        <v>3</v>
      </c>
      <c r="B24" s="91" t="s">
        <v>108</v>
      </c>
      <c r="C24" s="329" t="s">
        <v>175</v>
      </c>
      <c r="D24" s="330" t="s">
        <v>124</v>
      </c>
      <c r="E24" s="331">
        <f>E23</f>
        <v>50.088600000000014</v>
      </c>
      <c r="F24" s="92"/>
      <c r="G24" s="64"/>
      <c r="H24" s="93"/>
      <c r="I24" s="64"/>
      <c r="J24" s="64"/>
      <c r="K24" s="66"/>
      <c r="L24" s="67"/>
      <c r="M24" s="64"/>
      <c r="N24" s="64"/>
      <c r="O24" s="64"/>
      <c r="P24" s="68"/>
      <c r="S24" s="94"/>
    </row>
    <row r="25" spans="1:19" s="58" customFormat="1" ht="15" customHeight="1" x14ac:dyDescent="0.25">
      <c r="A25" s="71">
        <v>4</v>
      </c>
      <c r="B25" s="91"/>
      <c r="C25" s="341" t="s">
        <v>176</v>
      </c>
      <c r="D25" s="330" t="s">
        <v>177</v>
      </c>
      <c r="E25" s="331">
        <f>E24*0.2*1.15</f>
        <v>11.520378000000004</v>
      </c>
      <c r="F25" s="92"/>
      <c r="G25" s="64"/>
      <c r="H25" s="93"/>
      <c r="I25" s="74"/>
      <c r="J25" s="64"/>
      <c r="K25" s="66"/>
      <c r="L25" s="67"/>
      <c r="M25" s="64"/>
      <c r="N25" s="64"/>
      <c r="O25" s="64"/>
      <c r="P25" s="68"/>
      <c r="S25" s="94"/>
    </row>
    <row r="26" spans="1:19" s="58" customFormat="1" ht="15" customHeight="1" x14ac:dyDescent="0.25">
      <c r="A26" s="71">
        <v>5</v>
      </c>
      <c r="B26" s="91"/>
      <c r="C26" s="341" t="s">
        <v>178</v>
      </c>
      <c r="D26" s="330" t="s">
        <v>124</v>
      </c>
      <c r="E26" s="331">
        <f>E24*1.2</f>
        <v>60.106320000000011</v>
      </c>
      <c r="F26" s="92"/>
      <c r="G26" s="64"/>
      <c r="H26" s="93"/>
      <c r="I26" s="74"/>
      <c r="J26" s="64"/>
      <c r="K26" s="66"/>
      <c r="L26" s="67"/>
      <c r="M26" s="64"/>
      <c r="N26" s="64"/>
      <c r="O26" s="64"/>
      <c r="P26" s="68"/>
      <c r="S26" s="94"/>
    </row>
    <row r="27" spans="1:19" s="58" customFormat="1" ht="15" customHeight="1" x14ac:dyDescent="0.25">
      <c r="A27" s="71">
        <v>6</v>
      </c>
      <c r="B27" s="91"/>
      <c r="C27" s="341" t="s">
        <v>179</v>
      </c>
      <c r="D27" s="330" t="s">
        <v>180</v>
      </c>
      <c r="E27" s="331">
        <f>E24*20*1.15</f>
        <v>1152.0378000000003</v>
      </c>
      <c r="F27" s="92"/>
      <c r="G27" s="64"/>
      <c r="H27" s="93"/>
      <c r="I27" s="74"/>
      <c r="J27" s="64"/>
      <c r="K27" s="66"/>
      <c r="L27" s="67"/>
      <c r="M27" s="64"/>
      <c r="N27" s="64"/>
      <c r="O27" s="64"/>
      <c r="P27" s="68"/>
      <c r="S27" s="94"/>
    </row>
    <row r="28" spans="1:19" s="58" customFormat="1" ht="15" customHeight="1" x14ac:dyDescent="0.25">
      <c r="A28" s="71">
        <v>7</v>
      </c>
      <c r="B28" s="91"/>
      <c r="C28" s="341" t="s">
        <v>181</v>
      </c>
      <c r="D28" s="330" t="s">
        <v>112</v>
      </c>
      <c r="E28" s="331">
        <v>1</v>
      </c>
      <c r="F28" s="92"/>
      <c r="G28" s="64"/>
      <c r="H28" s="93"/>
      <c r="I28" s="74"/>
      <c r="J28" s="64"/>
      <c r="K28" s="66"/>
      <c r="L28" s="67"/>
      <c r="M28" s="64"/>
      <c r="N28" s="64"/>
      <c r="O28" s="64"/>
      <c r="P28" s="68"/>
      <c r="S28" s="94"/>
    </row>
    <row r="29" spans="1:19" s="58" customFormat="1" ht="15" customHeight="1" x14ac:dyDescent="0.25">
      <c r="A29" s="71">
        <v>8</v>
      </c>
      <c r="B29" s="91" t="s">
        <v>108</v>
      </c>
      <c r="C29" s="329" t="s">
        <v>182</v>
      </c>
      <c r="D29" s="330" t="s">
        <v>124</v>
      </c>
      <c r="E29" s="331">
        <f>E24</f>
        <v>50.088600000000014</v>
      </c>
      <c r="F29" s="92"/>
      <c r="G29" s="64"/>
      <c r="H29" s="93"/>
      <c r="I29" s="74"/>
      <c r="J29" s="64"/>
      <c r="K29" s="66"/>
      <c r="L29" s="67"/>
      <c r="M29" s="64"/>
      <c r="N29" s="64"/>
      <c r="O29" s="64"/>
      <c r="P29" s="68"/>
      <c r="S29" s="94"/>
    </row>
    <row r="30" spans="1:19" s="58" customFormat="1" ht="15" customHeight="1" x14ac:dyDescent="0.25">
      <c r="A30" s="71">
        <v>9</v>
      </c>
      <c r="B30" s="91"/>
      <c r="C30" s="341" t="s">
        <v>183</v>
      </c>
      <c r="D30" s="330" t="s">
        <v>180</v>
      </c>
      <c r="E30" s="331">
        <f>E29*2*1.1</f>
        <v>110.19492000000004</v>
      </c>
      <c r="F30" s="92"/>
      <c r="G30" s="64"/>
      <c r="H30" s="93"/>
      <c r="I30" s="74"/>
      <c r="J30" s="64"/>
      <c r="K30" s="66"/>
      <c r="L30" s="67"/>
      <c r="M30" s="64"/>
      <c r="N30" s="64"/>
      <c r="O30" s="64"/>
      <c r="P30" s="68"/>
      <c r="S30" s="94"/>
    </row>
    <row r="31" spans="1:19" s="58" customFormat="1" ht="27" customHeight="1" x14ac:dyDescent="0.25">
      <c r="A31" s="71">
        <v>10</v>
      </c>
      <c r="B31" s="91" t="s">
        <v>108</v>
      </c>
      <c r="C31" s="329" t="s">
        <v>184</v>
      </c>
      <c r="D31" s="330" t="s">
        <v>124</v>
      </c>
      <c r="E31" s="331">
        <f>E22</f>
        <v>55.654000000000011</v>
      </c>
      <c r="F31" s="92"/>
      <c r="G31" s="64"/>
      <c r="H31" s="93"/>
      <c r="I31" s="74"/>
      <c r="J31" s="64"/>
      <c r="K31" s="66"/>
      <c r="L31" s="67"/>
      <c r="M31" s="64"/>
      <c r="N31" s="64"/>
      <c r="O31" s="64"/>
      <c r="P31" s="68"/>
      <c r="S31" s="94"/>
    </row>
    <row r="32" spans="1:19" s="58" customFormat="1" ht="15" customHeight="1" x14ac:dyDescent="0.25">
      <c r="A32" s="71">
        <v>11</v>
      </c>
      <c r="B32" s="91"/>
      <c r="C32" s="341" t="s">
        <v>185</v>
      </c>
      <c r="D32" s="330" t="s">
        <v>124</v>
      </c>
      <c r="E32" s="331">
        <f>E22*1*1.15</f>
        <v>64.002100000000013</v>
      </c>
      <c r="F32" s="92"/>
      <c r="G32" s="64"/>
      <c r="H32" s="93"/>
      <c r="I32" s="64"/>
      <c r="J32" s="64"/>
      <c r="K32" s="66"/>
      <c r="L32" s="67"/>
      <c r="M32" s="64"/>
      <c r="N32" s="64"/>
      <c r="O32" s="64"/>
      <c r="P32" s="68"/>
      <c r="S32" s="94"/>
    </row>
    <row r="33" spans="1:19" s="58" customFormat="1" ht="15" customHeight="1" x14ac:dyDescent="0.25">
      <c r="A33" s="71">
        <v>12</v>
      </c>
      <c r="B33" s="91"/>
      <c r="C33" s="341" t="s">
        <v>186</v>
      </c>
      <c r="D33" s="330" t="s">
        <v>112</v>
      </c>
      <c r="E33" s="331">
        <v>1</v>
      </c>
      <c r="F33" s="92"/>
      <c r="G33" s="64"/>
      <c r="H33" s="93"/>
      <c r="I33" s="74"/>
      <c r="J33" s="64"/>
      <c r="K33" s="66"/>
      <c r="L33" s="67"/>
      <c r="M33" s="64"/>
      <c r="N33" s="64"/>
      <c r="O33" s="64"/>
      <c r="P33" s="68"/>
      <c r="S33" s="94"/>
    </row>
    <row r="34" spans="1:19" s="58" customFormat="1" ht="15" customHeight="1" x14ac:dyDescent="0.25">
      <c r="A34" s="71">
        <v>13</v>
      </c>
      <c r="B34" s="91"/>
      <c r="C34" s="341" t="s">
        <v>187</v>
      </c>
      <c r="D34" s="330" t="s">
        <v>180</v>
      </c>
      <c r="E34" s="331">
        <f>E31*2*1.1</f>
        <v>122.43880000000003</v>
      </c>
      <c r="F34" s="92"/>
      <c r="G34" s="64"/>
      <c r="H34" s="93"/>
      <c r="I34" s="74"/>
      <c r="J34" s="64"/>
      <c r="K34" s="66"/>
      <c r="L34" s="67"/>
      <c r="M34" s="64"/>
      <c r="N34" s="64"/>
      <c r="O34" s="64"/>
      <c r="P34" s="68"/>
      <c r="S34" s="94"/>
    </row>
    <row r="35" spans="1:19" s="58" customFormat="1" ht="15" customHeight="1" x14ac:dyDescent="0.25">
      <c r="A35" s="71">
        <v>14</v>
      </c>
      <c r="B35" s="91" t="s">
        <v>108</v>
      </c>
      <c r="C35" s="329" t="s">
        <v>188</v>
      </c>
      <c r="D35" s="330" t="s">
        <v>124</v>
      </c>
      <c r="E35" s="331">
        <f>E31*2</f>
        <v>111.30800000000002</v>
      </c>
      <c r="F35" s="92"/>
      <c r="G35" s="64"/>
      <c r="H35" s="93"/>
      <c r="I35" s="74"/>
      <c r="J35" s="64"/>
      <c r="K35" s="66"/>
      <c r="L35" s="67"/>
      <c r="M35" s="64"/>
      <c r="N35" s="64"/>
      <c r="O35" s="64"/>
      <c r="P35" s="68"/>
      <c r="S35" s="94"/>
    </row>
    <row r="36" spans="1:19" s="58" customFormat="1" ht="15" customHeight="1" x14ac:dyDescent="0.25">
      <c r="A36" s="71">
        <v>15</v>
      </c>
      <c r="B36" s="91"/>
      <c r="C36" s="341" t="s">
        <v>189</v>
      </c>
      <c r="D36" s="330" t="s">
        <v>124</v>
      </c>
      <c r="E36" s="331">
        <f>E35*2*1.2</f>
        <v>267.13920000000002</v>
      </c>
      <c r="F36" s="92"/>
      <c r="G36" s="64"/>
      <c r="H36" s="93"/>
      <c r="I36" s="74"/>
      <c r="J36" s="64"/>
      <c r="K36" s="66"/>
      <c r="L36" s="67"/>
      <c r="M36" s="64"/>
      <c r="N36" s="64"/>
      <c r="O36" s="64"/>
      <c r="P36" s="68"/>
      <c r="S36" s="94"/>
    </row>
    <row r="37" spans="1:19" s="58" customFormat="1" ht="15" customHeight="1" x14ac:dyDescent="0.25">
      <c r="A37" s="71">
        <v>16</v>
      </c>
      <c r="B37" s="91"/>
      <c r="C37" s="341" t="s">
        <v>190</v>
      </c>
      <c r="D37" s="330" t="s">
        <v>110</v>
      </c>
      <c r="E37" s="331">
        <f>28*1.2</f>
        <v>33.6</v>
      </c>
      <c r="F37" s="92"/>
      <c r="G37" s="64"/>
      <c r="H37" s="93"/>
      <c r="I37" s="64"/>
      <c r="J37" s="64"/>
      <c r="K37" s="66"/>
      <c r="L37" s="67"/>
      <c r="M37" s="64"/>
      <c r="N37" s="64"/>
      <c r="O37" s="64"/>
      <c r="P37" s="68"/>
      <c r="S37" s="94"/>
    </row>
    <row r="38" spans="1:19" s="58" customFormat="1" ht="15" customHeight="1" x14ac:dyDescent="0.25">
      <c r="A38" s="71">
        <v>17</v>
      </c>
      <c r="B38" s="91"/>
      <c r="C38" s="341" t="s">
        <v>191</v>
      </c>
      <c r="D38" s="330" t="s">
        <v>180</v>
      </c>
      <c r="E38" s="331">
        <f>E35*5</f>
        <v>556.54000000000008</v>
      </c>
      <c r="F38" s="92"/>
      <c r="G38" s="64"/>
      <c r="H38" s="93"/>
      <c r="I38" s="74"/>
      <c r="J38" s="64"/>
      <c r="K38" s="66"/>
      <c r="L38" s="67"/>
      <c r="M38" s="64"/>
      <c r="N38" s="64"/>
      <c r="O38" s="64"/>
      <c r="P38" s="68"/>
      <c r="S38" s="94"/>
    </row>
    <row r="39" spans="1:19" s="58" customFormat="1" ht="15" customHeight="1" x14ac:dyDescent="0.25">
      <c r="A39" s="71">
        <v>18</v>
      </c>
      <c r="B39" s="91" t="s">
        <v>108</v>
      </c>
      <c r="C39" s="329" t="s">
        <v>192</v>
      </c>
      <c r="D39" s="330" t="s">
        <v>124</v>
      </c>
      <c r="E39" s="331">
        <f>E22*0.55</f>
        <v>30.609700000000007</v>
      </c>
      <c r="F39" s="92"/>
      <c r="G39" s="64"/>
      <c r="H39" s="93"/>
      <c r="I39" s="74"/>
      <c r="J39" s="64"/>
      <c r="K39" s="66"/>
      <c r="L39" s="67"/>
      <c r="M39" s="64"/>
      <c r="N39" s="64"/>
      <c r="O39" s="64"/>
      <c r="P39" s="68"/>
      <c r="S39" s="94"/>
    </row>
    <row r="40" spans="1:19" s="58" customFormat="1" ht="15" customHeight="1" x14ac:dyDescent="0.25">
      <c r="A40" s="71">
        <v>19</v>
      </c>
      <c r="B40" s="91"/>
      <c r="C40" s="341" t="s">
        <v>193</v>
      </c>
      <c r="D40" s="330" t="s">
        <v>180</v>
      </c>
      <c r="E40" s="331">
        <f>E39*3*1.15</f>
        <v>105.60346500000001</v>
      </c>
      <c r="F40" s="92"/>
      <c r="G40" s="64"/>
      <c r="H40" s="93"/>
      <c r="I40" s="74"/>
      <c r="J40" s="64"/>
      <c r="K40" s="66"/>
      <c r="L40" s="67"/>
      <c r="M40" s="64"/>
      <c r="N40" s="64"/>
      <c r="O40" s="64"/>
      <c r="P40" s="68"/>
      <c r="S40" s="94"/>
    </row>
    <row r="41" spans="1:19" s="58" customFormat="1" ht="15" customHeight="1" x14ac:dyDescent="0.25">
      <c r="A41" s="71">
        <v>20</v>
      </c>
      <c r="B41" s="91" t="s">
        <v>108</v>
      </c>
      <c r="C41" s="329" t="s">
        <v>194</v>
      </c>
      <c r="D41" s="330" t="s">
        <v>124</v>
      </c>
      <c r="E41" s="331">
        <f>E23</f>
        <v>50.088600000000014</v>
      </c>
      <c r="F41" s="92"/>
      <c r="G41" s="64"/>
      <c r="H41" s="93"/>
      <c r="I41" s="74"/>
      <c r="J41" s="64"/>
      <c r="K41" s="66"/>
      <c r="L41" s="67"/>
      <c r="M41" s="64"/>
      <c r="N41" s="64"/>
      <c r="O41" s="64"/>
      <c r="P41" s="68"/>
      <c r="S41" s="94"/>
    </row>
    <row r="42" spans="1:19" s="58" customFormat="1" ht="30" customHeight="1" x14ac:dyDescent="0.25">
      <c r="A42" s="71">
        <v>21</v>
      </c>
      <c r="B42" s="91" t="s">
        <v>108</v>
      </c>
      <c r="C42" s="329" t="s">
        <v>195</v>
      </c>
      <c r="D42" s="330" t="s">
        <v>110</v>
      </c>
      <c r="E42" s="331">
        <f>E22</f>
        <v>55.654000000000011</v>
      </c>
      <c r="F42" s="92"/>
      <c r="G42" s="64"/>
      <c r="H42" s="93"/>
      <c r="I42" s="74"/>
      <c r="J42" s="64"/>
      <c r="K42" s="66"/>
      <c r="L42" s="67"/>
      <c r="M42" s="64"/>
      <c r="N42" s="64"/>
      <c r="O42" s="64"/>
      <c r="P42" s="68"/>
      <c r="S42" s="94"/>
    </row>
    <row r="43" spans="1:19" x14ac:dyDescent="0.25">
      <c r="A43" s="82"/>
      <c r="B43" s="83"/>
      <c r="C43" s="83"/>
      <c r="D43" s="83"/>
      <c r="E43" s="84"/>
      <c r="F43" s="82"/>
      <c r="G43" s="83"/>
      <c r="H43" s="83"/>
      <c r="I43" s="83"/>
      <c r="J43" s="83"/>
      <c r="K43" s="85"/>
      <c r="L43" s="86"/>
      <c r="M43" s="83"/>
      <c r="N43" s="83"/>
      <c r="O43" s="83"/>
      <c r="P43" s="85"/>
    </row>
    <row r="44" spans="1:19" ht="15.75" customHeight="1" x14ac:dyDescent="0.25">
      <c r="A44" s="87"/>
      <c r="B44" s="88"/>
      <c r="C44" s="419" t="s">
        <v>136</v>
      </c>
      <c r="D44" s="419"/>
      <c r="E44" s="419"/>
      <c r="F44" s="419"/>
      <c r="G44" s="419"/>
      <c r="H44" s="419"/>
      <c r="I44" s="419"/>
      <c r="J44" s="419"/>
      <c r="K44" s="419"/>
      <c r="L44" s="89">
        <f>SUM(L21:L43)</f>
        <v>0</v>
      </c>
      <c r="M44" s="90">
        <f>SUM(M21:M43)</f>
        <v>0</v>
      </c>
      <c r="N44" s="90">
        <f>SUM(N21:N43)</f>
        <v>0</v>
      </c>
      <c r="O44" s="90">
        <f>SUM(O21:O43)</f>
        <v>0</v>
      </c>
      <c r="P44" s="21">
        <f>SUM(P21:P43)</f>
        <v>0</v>
      </c>
    </row>
    <row r="46" spans="1:19" x14ac:dyDescent="0.25">
      <c r="B46" s="1" t="s">
        <v>26</v>
      </c>
      <c r="C46" s="6">
        <f>KOPTAME!C58</f>
        <v>0</v>
      </c>
      <c r="E46" s="34">
        <f>'KOPS 1'!F42</f>
        <v>0</v>
      </c>
    </row>
    <row r="47" spans="1:19" x14ac:dyDescent="0.25">
      <c r="C47" s="32" t="s">
        <v>86</v>
      </c>
      <c r="E47" s="2"/>
    </row>
    <row r="48" spans="1:19" x14ac:dyDescent="0.25">
      <c r="E48" s="2"/>
    </row>
    <row r="49" spans="2:6" x14ac:dyDescent="0.25">
      <c r="B49" s="5"/>
      <c r="C49" s="33"/>
      <c r="D49" s="2"/>
      <c r="E49" s="2"/>
      <c r="F49" s="42"/>
    </row>
    <row r="50" spans="2:6" x14ac:dyDescent="0.25">
      <c r="E50" s="2"/>
    </row>
    <row r="51" spans="2:6" x14ac:dyDescent="0.25">
      <c r="B51" s="1" t="s">
        <v>28</v>
      </c>
      <c r="C51" s="6">
        <f>KOPTAME!C63</f>
        <v>0</v>
      </c>
      <c r="E51" s="34">
        <f>E46</f>
        <v>0</v>
      </c>
    </row>
    <row r="52" spans="2:6" x14ac:dyDescent="0.25">
      <c r="C52" s="32" t="s">
        <v>86</v>
      </c>
    </row>
    <row r="54" spans="2:6" x14ac:dyDescent="0.25">
      <c r="C54" s="1">
        <f>KOPTAME!C68</f>
        <v>0</v>
      </c>
    </row>
    <row r="56" spans="2:6" x14ac:dyDescent="0.25">
      <c r="C56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44:K44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58" firstPageNumber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MJ67"/>
  <sheetViews>
    <sheetView view="pageBreakPreview" topLeftCell="A28" zoomScaleNormal="100" workbookViewId="0">
      <selection activeCell="J27" sqref="J27"/>
    </sheetView>
  </sheetViews>
  <sheetFormatPr defaultColWidth="9.140625" defaultRowHeight="15" x14ac:dyDescent="0.25"/>
  <cols>
    <col min="1" max="1" width="9.140625" style="1"/>
    <col min="2" max="2" width="9" style="1" customWidth="1"/>
    <col min="3" max="3" width="33.7109375" style="1" customWidth="1"/>
    <col min="4" max="4" width="7.28515625" style="1" customWidth="1"/>
    <col min="5" max="11" width="7.7109375" style="1" customWidth="1"/>
    <col min="12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ht="16.149999999999999" customHeight="1" x14ac:dyDescent="0.25">
      <c r="E3" s="426" t="s">
        <v>88</v>
      </c>
      <c r="F3" s="426"/>
      <c r="G3" s="426"/>
      <c r="H3" s="426"/>
      <c r="I3" s="41" t="s">
        <v>51</v>
      </c>
    </row>
    <row r="4" spans="1:16" x14ac:dyDescent="0.25">
      <c r="D4" s="415" t="s">
        <v>54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>
        <f>P55</f>
        <v>0</v>
      </c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8" spans="1:19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9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9" ht="70.5" x14ac:dyDescent="0.25">
      <c r="A19" s="420"/>
      <c r="B19" s="421"/>
      <c r="C19" s="422"/>
      <c r="D19" s="423"/>
      <c r="E19" s="429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9" x14ac:dyDescent="0.25">
      <c r="A20" s="17">
        <v>1</v>
      </c>
      <c r="B20" s="18">
        <v>2</v>
      </c>
      <c r="C20" s="18">
        <v>3</v>
      </c>
      <c r="D20" s="18">
        <v>4</v>
      </c>
      <c r="E20" s="47">
        <v>5</v>
      </c>
      <c r="F20" s="17">
        <v>6</v>
      </c>
      <c r="G20" s="18">
        <v>7</v>
      </c>
      <c r="H20" s="18">
        <v>8</v>
      </c>
      <c r="I20" s="18">
        <v>9</v>
      </c>
      <c r="J20" s="18">
        <v>10</v>
      </c>
      <c r="K20" s="19">
        <v>11</v>
      </c>
      <c r="L20" s="48">
        <v>12</v>
      </c>
      <c r="M20" s="18">
        <v>13</v>
      </c>
      <c r="N20" s="18">
        <v>14</v>
      </c>
      <c r="O20" s="18">
        <v>15</v>
      </c>
      <c r="P20" s="19">
        <v>16</v>
      </c>
    </row>
    <row r="21" spans="1:19" ht="20.25" customHeight="1" x14ac:dyDescent="0.25">
      <c r="A21" s="23"/>
      <c r="B21" s="36"/>
      <c r="C21" s="342" t="s">
        <v>219</v>
      </c>
      <c r="D21" s="343"/>
      <c r="E21" s="344">
        <f>2*10.4*8.05+2*22*6.7-(83.61+2.32*2.72)</f>
        <v>372.31960000000004</v>
      </c>
      <c r="F21" s="23"/>
      <c r="G21" s="36"/>
      <c r="H21" s="36"/>
      <c r="I21" s="36"/>
      <c r="J21" s="36"/>
      <c r="K21" s="109"/>
      <c r="L21" s="110"/>
      <c r="M21" s="36"/>
      <c r="N21" s="36"/>
      <c r="O21" s="36"/>
      <c r="P21" s="109"/>
    </row>
    <row r="22" spans="1:19" s="58" customFormat="1" ht="26.25" customHeight="1" x14ac:dyDescent="0.25">
      <c r="A22" s="71">
        <v>1</v>
      </c>
      <c r="B22" s="91" t="s">
        <v>108</v>
      </c>
      <c r="C22" s="329" t="s">
        <v>220</v>
      </c>
      <c r="D22" s="330" t="s">
        <v>124</v>
      </c>
      <c r="E22" s="345">
        <f>E21</f>
        <v>372.31960000000004</v>
      </c>
      <c r="F22" s="12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14.25" customHeight="1" x14ac:dyDescent="0.25">
      <c r="A23" s="71">
        <v>2</v>
      </c>
      <c r="B23" s="91"/>
      <c r="C23" s="341" t="s">
        <v>176</v>
      </c>
      <c r="D23" s="330" t="s">
        <v>177</v>
      </c>
      <c r="E23" s="345">
        <f>E22*0.2*1.15</f>
        <v>85.633508000000006</v>
      </c>
      <c r="F23" s="122"/>
      <c r="G23" s="64"/>
      <c r="H23" s="93"/>
      <c r="I23" s="7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14.25" customHeight="1" x14ac:dyDescent="0.25">
      <c r="A24" s="71">
        <v>3</v>
      </c>
      <c r="B24" s="91"/>
      <c r="C24" s="341" t="s">
        <v>178</v>
      </c>
      <c r="D24" s="330" t="s">
        <v>124</v>
      </c>
      <c r="E24" s="345">
        <f>E22*1.2</f>
        <v>446.78352000000001</v>
      </c>
      <c r="F24" s="122"/>
      <c r="G24" s="64"/>
      <c r="H24" s="93"/>
      <c r="I24" s="7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14.25" customHeight="1" x14ac:dyDescent="0.25">
      <c r="A25" s="71">
        <v>4</v>
      </c>
      <c r="B25" s="91"/>
      <c r="C25" s="341" t="s">
        <v>179</v>
      </c>
      <c r="D25" s="330" t="s">
        <v>180</v>
      </c>
      <c r="E25" s="346">
        <f>E22*15*1.15*2</f>
        <v>12845.0262</v>
      </c>
      <c r="F25" s="122"/>
      <c r="G25" s="64"/>
      <c r="H25" s="93"/>
      <c r="I25" s="7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26.85" customHeight="1" x14ac:dyDescent="0.25">
      <c r="A26" s="71">
        <v>5</v>
      </c>
      <c r="B26" s="91" t="s">
        <v>108</v>
      </c>
      <c r="C26" s="329" t="s">
        <v>221</v>
      </c>
      <c r="D26" s="330" t="s">
        <v>124</v>
      </c>
      <c r="E26" s="345">
        <f>E22</f>
        <v>372.31960000000004</v>
      </c>
      <c r="F26" s="122"/>
      <c r="G26" s="64"/>
      <c r="H26" s="93"/>
      <c r="I26" s="6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14.25" customHeight="1" x14ac:dyDescent="0.25">
      <c r="A27" s="71">
        <v>6</v>
      </c>
      <c r="B27" s="91"/>
      <c r="C27" s="341" t="s">
        <v>176</v>
      </c>
      <c r="D27" s="330" t="s">
        <v>177</v>
      </c>
      <c r="E27" s="345">
        <f>E26*0.2*1.15</f>
        <v>85.633508000000006</v>
      </c>
      <c r="F27" s="122"/>
      <c r="G27" s="64"/>
      <c r="H27" s="93"/>
      <c r="I27" s="7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14.25" customHeight="1" x14ac:dyDescent="0.25">
      <c r="A28" s="71">
        <v>7</v>
      </c>
      <c r="B28" s="91"/>
      <c r="C28" s="341" t="s">
        <v>179</v>
      </c>
      <c r="D28" s="330" t="s">
        <v>180</v>
      </c>
      <c r="E28" s="346">
        <f>E26*15*1.15*2</f>
        <v>12845.0262</v>
      </c>
      <c r="F28" s="122"/>
      <c r="G28" s="64"/>
      <c r="H28" s="93"/>
      <c r="I28" s="74"/>
      <c r="J28" s="64"/>
      <c r="K28" s="68"/>
      <c r="L28" s="112"/>
      <c r="M28" s="64"/>
      <c r="N28" s="64"/>
      <c r="O28" s="64"/>
      <c r="P28" s="68"/>
      <c r="S28" s="94"/>
    </row>
    <row r="29" spans="1:19" s="58" customFormat="1" ht="14.25" customHeight="1" x14ac:dyDescent="0.25">
      <c r="A29" s="71">
        <v>8</v>
      </c>
      <c r="B29" s="91" t="s">
        <v>108</v>
      </c>
      <c r="C29" s="332" t="s">
        <v>222</v>
      </c>
      <c r="D29" s="333" t="s">
        <v>124</v>
      </c>
      <c r="E29" s="347">
        <f>E21</f>
        <v>372.31960000000004</v>
      </c>
      <c r="F29" s="111"/>
      <c r="G29" s="64"/>
      <c r="H29" s="65"/>
      <c r="I29" s="64"/>
      <c r="J29" s="64"/>
      <c r="K29" s="68"/>
      <c r="L29" s="112"/>
      <c r="M29" s="64"/>
      <c r="N29" s="64"/>
      <c r="O29" s="64"/>
      <c r="P29" s="68"/>
      <c r="S29" s="94"/>
    </row>
    <row r="30" spans="1:19" s="58" customFormat="1" ht="14.25" customHeight="1" x14ac:dyDescent="0.25">
      <c r="A30" s="71">
        <v>9</v>
      </c>
      <c r="B30" s="91"/>
      <c r="C30" s="348" t="s">
        <v>176</v>
      </c>
      <c r="D30" s="333" t="s">
        <v>177</v>
      </c>
      <c r="E30" s="347">
        <f>E29*0.12</f>
        <v>44.678352000000004</v>
      </c>
      <c r="F30" s="111"/>
      <c r="G30" s="64"/>
      <c r="H30" s="65"/>
      <c r="I30" s="64"/>
      <c r="J30" s="64"/>
      <c r="K30" s="68"/>
      <c r="L30" s="112"/>
      <c r="M30" s="64"/>
      <c r="N30" s="64"/>
      <c r="O30" s="64"/>
      <c r="P30" s="68"/>
      <c r="S30" s="94"/>
    </row>
    <row r="31" spans="1:19" s="58" customFormat="1" ht="14.25" customHeight="1" x14ac:dyDescent="0.25">
      <c r="A31" s="71">
        <v>10</v>
      </c>
      <c r="B31" s="91"/>
      <c r="C31" s="348" t="s">
        <v>223</v>
      </c>
      <c r="D31" s="333" t="s">
        <v>180</v>
      </c>
      <c r="E31" s="347">
        <f>E29*5*1.1</f>
        <v>2047.7578000000003</v>
      </c>
      <c r="F31" s="111"/>
      <c r="G31" s="64"/>
      <c r="H31" s="65"/>
      <c r="I31" s="64"/>
      <c r="J31" s="74"/>
      <c r="K31" s="68"/>
      <c r="L31" s="112"/>
      <c r="M31" s="64"/>
      <c r="N31" s="64"/>
      <c r="O31" s="64"/>
      <c r="P31" s="68"/>
      <c r="S31" s="94"/>
    </row>
    <row r="32" spans="1:19" s="58" customFormat="1" ht="14.25" customHeight="1" x14ac:dyDescent="0.25">
      <c r="A32" s="71">
        <v>11</v>
      </c>
      <c r="B32" s="91"/>
      <c r="C32" s="348" t="s">
        <v>224</v>
      </c>
      <c r="D32" s="333" t="s">
        <v>114</v>
      </c>
      <c r="E32" s="347">
        <f>ROUND(E29*5.5,0)</f>
        <v>2048</v>
      </c>
      <c r="F32" s="111"/>
      <c r="G32" s="64"/>
      <c r="H32" s="65"/>
      <c r="I32" s="64"/>
      <c r="J32" s="74"/>
      <c r="K32" s="68"/>
      <c r="L32" s="112"/>
      <c r="M32" s="64"/>
      <c r="N32" s="64"/>
      <c r="O32" s="64"/>
      <c r="P32" s="68"/>
      <c r="S32" s="94"/>
    </row>
    <row r="33" spans="1:19" s="58" customFormat="1" ht="14.25" customHeight="1" x14ac:dyDescent="0.25">
      <c r="A33" s="71">
        <v>12</v>
      </c>
      <c r="B33" s="91"/>
      <c r="C33" s="348" t="s">
        <v>225</v>
      </c>
      <c r="D33" s="333" t="s">
        <v>124</v>
      </c>
      <c r="E33" s="347">
        <f>E29*1.02</f>
        <v>379.76599200000004</v>
      </c>
      <c r="F33" s="111"/>
      <c r="G33" s="64"/>
      <c r="H33" s="65"/>
      <c r="I33" s="64"/>
      <c r="J33" s="74"/>
      <c r="K33" s="68"/>
      <c r="L33" s="112"/>
      <c r="M33" s="64"/>
      <c r="N33" s="64"/>
      <c r="O33" s="64"/>
      <c r="P33" s="68"/>
      <c r="S33" s="94"/>
    </row>
    <row r="34" spans="1:19" s="58" customFormat="1" ht="14.25" customHeight="1" x14ac:dyDescent="0.25">
      <c r="A34" s="71">
        <v>13</v>
      </c>
      <c r="B34" s="91" t="s">
        <v>108</v>
      </c>
      <c r="C34" s="332" t="s">
        <v>226</v>
      </c>
      <c r="D34" s="333" t="s">
        <v>124</v>
      </c>
      <c r="E34" s="347">
        <f>E29</f>
        <v>372.31960000000004</v>
      </c>
      <c r="F34" s="111"/>
      <c r="G34" s="64"/>
      <c r="H34" s="65"/>
      <c r="I34" s="64"/>
      <c r="J34" s="64"/>
      <c r="K34" s="68"/>
      <c r="L34" s="112"/>
      <c r="M34" s="64"/>
      <c r="N34" s="64"/>
      <c r="O34" s="64"/>
      <c r="P34" s="68"/>
      <c r="S34" s="94"/>
    </row>
    <row r="35" spans="1:19" s="58" customFormat="1" ht="14.25" customHeight="1" x14ac:dyDescent="0.25">
      <c r="A35" s="71">
        <v>14</v>
      </c>
      <c r="B35" s="91"/>
      <c r="C35" s="348" t="s">
        <v>176</v>
      </c>
      <c r="D35" s="333" t="s">
        <v>177</v>
      </c>
      <c r="E35" s="347">
        <f>E34*0.12</f>
        <v>44.678352000000004</v>
      </c>
      <c r="F35" s="111"/>
      <c r="G35" s="64"/>
      <c r="H35" s="65"/>
      <c r="I35" s="64"/>
      <c r="J35" s="64"/>
      <c r="K35" s="68"/>
      <c r="L35" s="112"/>
      <c r="M35" s="64"/>
      <c r="N35" s="64"/>
      <c r="O35" s="64"/>
      <c r="P35" s="68"/>
      <c r="S35" s="94"/>
    </row>
    <row r="36" spans="1:19" s="58" customFormat="1" ht="14.25" customHeight="1" x14ac:dyDescent="0.25">
      <c r="A36" s="71">
        <v>15</v>
      </c>
      <c r="B36" s="91"/>
      <c r="C36" s="348" t="s">
        <v>191</v>
      </c>
      <c r="D36" s="333" t="s">
        <v>180</v>
      </c>
      <c r="E36" s="347">
        <f>E34*5*1.4</f>
        <v>2606.2372</v>
      </c>
      <c r="F36" s="111"/>
      <c r="G36" s="64"/>
      <c r="H36" s="65"/>
      <c r="I36" s="64"/>
      <c r="J36" s="64"/>
      <c r="K36" s="68"/>
      <c r="L36" s="112"/>
      <c r="M36" s="64"/>
      <c r="N36" s="64"/>
      <c r="O36" s="64"/>
      <c r="P36" s="68"/>
      <c r="S36" s="94"/>
    </row>
    <row r="37" spans="1:19" s="58" customFormat="1" ht="14.25" customHeight="1" x14ac:dyDescent="0.25">
      <c r="A37" s="71">
        <v>16</v>
      </c>
      <c r="B37" s="91"/>
      <c r="C37" s="348" t="s">
        <v>227</v>
      </c>
      <c r="D37" s="333" t="s">
        <v>124</v>
      </c>
      <c r="E37" s="347">
        <f>E34*1.2*2</f>
        <v>893.56704000000002</v>
      </c>
      <c r="F37" s="111"/>
      <c r="G37" s="64"/>
      <c r="H37" s="65"/>
      <c r="I37" s="64"/>
      <c r="J37" s="64"/>
      <c r="K37" s="68"/>
      <c r="L37" s="112"/>
      <c r="M37" s="64"/>
      <c r="N37" s="64"/>
      <c r="O37" s="64"/>
      <c r="P37" s="68"/>
      <c r="S37" s="94"/>
    </row>
    <row r="38" spans="1:19" s="58" customFormat="1" ht="14.25" customHeight="1" x14ac:dyDescent="0.25">
      <c r="A38" s="71">
        <v>17</v>
      </c>
      <c r="B38" s="91"/>
      <c r="C38" s="348" t="s">
        <v>228</v>
      </c>
      <c r="D38" s="333" t="s">
        <v>110</v>
      </c>
      <c r="E38" s="347">
        <f>2*4.4+2*3.7</f>
        <v>16.200000000000003</v>
      </c>
      <c r="F38" s="111"/>
      <c r="G38" s="64"/>
      <c r="H38" s="65"/>
      <c r="I38" s="64"/>
      <c r="J38" s="64"/>
      <c r="K38" s="68"/>
      <c r="L38" s="112"/>
      <c r="M38" s="64"/>
      <c r="N38" s="64"/>
      <c r="O38" s="64"/>
      <c r="P38" s="68"/>
      <c r="S38" s="94"/>
    </row>
    <row r="39" spans="1:19" s="58" customFormat="1" ht="14.25" customHeight="1" x14ac:dyDescent="0.25">
      <c r="A39" s="71">
        <v>18</v>
      </c>
      <c r="B39" s="91" t="s">
        <v>108</v>
      </c>
      <c r="C39" s="332" t="s">
        <v>229</v>
      </c>
      <c r="D39" s="333" t="s">
        <v>124</v>
      </c>
      <c r="E39" s="347">
        <f>E29</f>
        <v>372.31960000000004</v>
      </c>
      <c r="F39" s="111"/>
      <c r="G39" s="64"/>
      <c r="H39" s="65"/>
      <c r="I39" s="64"/>
      <c r="J39" s="64"/>
      <c r="K39" s="68"/>
      <c r="L39" s="112"/>
      <c r="M39" s="64"/>
      <c r="N39" s="64"/>
      <c r="O39" s="64"/>
      <c r="P39" s="68"/>
      <c r="S39" s="94"/>
    </row>
    <row r="40" spans="1:19" s="58" customFormat="1" ht="14.25" customHeight="1" x14ac:dyDescent="0.25">
      <c r="A40" s="71">
        <v>19</v>
      </c>
      <c r="B40" s="91"/>
      <c r="C40" s="348" t="s">
        <v>176</v>
      </c>
      <c r="D40" s="333" t="s">
        <v>177</v>
      </c>
      <c r="E40" s="347">
        <f>E39*0.15</f>
        <v>55.847940000000001</v>
      </c>
      <c r="F40" s="111"/>
      <c r="G40" s="64"/>
      <c r="H40" s="65"/>
      <c r="I40" s="64"/>
      <c r="J40" s="64"/>
      <c r="K40" s="68"/>
      <c r="L40" s="112"/>
      <c r="M40" s="64"/>
      <c r="N40" s="64"/>
      <c r="O40" s="64"/>
      <c r="P40" s="68"/>
      <c r="S40" s="94"/>
    </row>
    <row r="41" spans="1:19" s="58" customFormat="1" ht="14.25" customHeight="1" x14ac:dyDescent="0.25">
      <c r="A41" s="71">
        <v>20</v>
      </c>
      <c r="B41" s="91"/>
      <c r="C41" s="348" t="s">
        <v>230</v>
      </c>
      <c r="D41" s="333" t="s">
        <v>180</v>
      </c>
      <c r="E41" s="347">
        <f>E39*3</f>
        <v>1116.9588000000001</v>
      </c>
      <c r="F41" s="111"/>
      <c r="G41" s="64"/>
      <c r="H41" s="65"/>
      <c r="I41" s="64"/>
      <c r="J41" s="64"/>
      <c r="K41" s="68"/>
      <c r="L41" s="112"/>
      <c r="M41" s="64"/>
      <c r="N41" s="64"/>
      <c r="O41" s="64"/>
      <c r="P41" s="68"/>
      <c r="S41" s="94"/>
    </row>
    <row r="42" spans="1:19" s="58" customFormat="1" ht="27.6" customHeight="1" x14ac:dyDescent="0.25">
      <c r="A42" s="71">
        <v>21</v>
      </c>
      <c r="B42" s="91" t="s">
        <v>108</v>
      </c>
      <c r="C42" s="332" t="s">
        <v>231</v>
      </c>
      <c r="D42" s="333" t="s">
        <v>110</v>
      </c>
      <c r="E42" s="347">
        <f>22*2+10.4*2</f>
        <v>64.8</v>
      </c>
      <c r="F42" s="111"/>
      <c r="G42" s="64"/>
      <c r="H42" s="65"/>
      <c r="I42" s="64"/>
      <c r="J42" s="64"/>
      <c r="K42" s="68"/>
      <c r="L42" s="112"/>
      <c r="M42" s="64"/>
      <c r="N42" s="64"/>
      <c r="O42" s="64"/>
      <c r="P42" s="68"/>
      <c r="S42" s="94"/>
    </row>
    <row r="43" spans="1:19" s="58" customFormat="1" ht="39" customHeight="1" x14ac:dyDescent="0.25">
      <c r="A43" s="71">
        <v>22</v>
      </c>
      <c r="B43" s="91" t="s">
        <v>108</v>
      </c>
      <c r="C43" s="332" t="s">
        <v>232</v>
      </c>
      <c r="D43" s="333" t="s">
        <v>110</v>
      </c>
      <c r="E43" s="347">
        <f>11*2</f>
        <v>22</v>
      </c>
      <c r="F43" s="111"/>
      <c r="G43" s="64"/>
      <c r="H43" s="65"/>
      <c r="I43" s="64"/>
      <c r="J43" s="64"/>
      <c r="K43" s="68"/>
      <c r="L43" s="112"/>
      <c r="M43" s="64"/>
      <c r="N43" s="64"/>
      <c r="O43" s="64"/>
      <c r="P43" s="68"/>
      <c r="S43" s="94"/>
    </row>
    <row r="44" spans="1:19" s="58" customFormat="1" ht="15" customHeight="1" x14ac:dyDescent="0.25">
      <c r="A44" s="71">
        <v>23</v>
      </c>
      <c r="B44" s="91" t="s">
        <v>108</v>
      </c>
      <c r="C44" s="329" t="s">
        <v>233</v>
      </c>
      <c r="D44" s="330" t="s">
        <v>124</v>
      </c>
      <c r="E44" s="345">
        <f>E21</f>
        <v>372.31960000000004</v>
      </c>
      <c r="F44" s="122"/>
      <c r="G44" s="64"/>
      <c r="H44" s="93"/>
      <c r="I44" s="74"/>
      <c r="J44" s="74"/>
      <c r="K44" s="68"/>
      <c r="L44" s="112"/>
      <c r="M44" s="64"/>
      <c r="N44" s="64"/>
      <c r="O44" s="64"/>
      <c r="P44" s="68"/>
      <c r="S44" s="94"/>
    </row>
    <row r="45" spans="1:19" s="58" customFormat="1" ht="34.15" customHeight="1" x14ac:dyDescent="0.25">
      <c r="A45" s="124"/>
      <c r="B45" s="125"/>
      <c r="C45" s="349" t="s">
        <v>234</v>
      </c>
      <c r="D45" s="333"/>
      <c r="E45" s="345">
        <f>10.4*1.5</f>
        <v>15.600000000000001</v>
      </c>
      <c r="F45" s="124"/>
      <c r="G45" s="125"/>
      <c r="H45" s="125"/>
      <c r="I45" s="125"/>
      <c r="J45" s="125"/>
      <c r="K45" s="126"/>
      <c r="L45" s="127"/>
      <c r="M45" s="125"/>
      <c r="N45" s="125"/>
      <c r="O45" s="125"/>
      <c r="P45" s="126"/>
      <c r="S45" s="94"/>
    </row>
    <row r="46" spans="1:19" s="58" customFormat="1" ht="30" customHeight="1" x14ac:dyDescent="0.25">
      <c r="A46" s="71">
        <v>1</v>
      </c>
      <c r="B46" s="91" t="s">
        <v>108</v>
      </c>
      <c r="C46" s="329" t="s">
        <v>220</v>
      </c>
      <c r="D46" s="330" t="s">
        <v>124</v>
      </c>
      <c r="E46" s="345">
        <f>E45*2</f>
        <v>31.200000000000003</v>
      </c>
      <c r="F46" s="122"/>
      <c r="G46" s="64"/>
      <c r="H46" s="93"/>
      <c r="I46" s="64"/>
      <c r="J46" s="64"/>
      <c r="K46" s="68"/>
      <c r="L46" s="112"/>
      <c r="M46" s="64"/>
      <c r="N46" s="64"/>
      <c r="O46" s="64"/>
      <c r="P46" s="68"/>
      <c r="S46" s="94"/>
    </row>
    <row r="47" spans="1:19" s="58" customFormat="1" ht="15" customHeight="1" x14ac:dyDescent="0.25">
      <c r="A47" s="71">
        <v>2</v>
      </c>
      <c r="B47" s="91"/>
      <c r="C47" s="341" t="s">
        <v>176</v>
      </c>
      <c r="D47" s="330" t="s">
        <v>177</v>
      </c>
      <c r="E47" s="345">
        <f>E46*0.2*1.15</f>
        <v>7.176000000000001</v>
      </c>
      <c r="F47" s="122"/>
      <c r="G47" s="64"/>
      <c r="H47" s="93"/>
      <c r="I47" s="74"/>
      <c r="J47" s="64"/>
      <c r="K47" s="68"/>
      <c r="L47" s="112"/>
      <c r="M47" s="64"/>
      <c r="N47" s="64"/>
      <c r="O47" s="64"/>
      <c r="P47" s="68"/>
      <c r="S47" s="94"/>
    </row>
    <row r="48" spans="1:19" s="58" customFormat="1" ht="15" customHeight="1" x14ac:dyDescent="0.25">
      <c r="A48" s="71">
        <v>3</v>
      </c>
      <c r="B48" s="91"/>
      <c r="C48" s="341" t="s">
        <v>178</v>
      </c>
      <c r="D48" s="330" t="s">
        <v>124</v>
      </c>
      <c r="E48" s="345">
        <f>E46*1.2</f>
        <v>37.440000000000005</v>
      </c>
      <c r="F48" s="122"/>
      <c r="G48" s="64"/>
      <c r="H48" s="93"/>
      <c r="I48" s="74"/>
      <c r="J48" s="64"/>
      <c r="K48" s="68"/>
      <c r="L48" s="112"/>
      <c r="M48" s="64"/>
      <c r="N48" s="64"/>
      <c r="O48" s="64"/>
      <c r="P48" s="68"/>
      <c r="S48" s="94"/>
    </row>
    <row r="49" spans="1:19" s="58" customFormat="1" ht="15" customHeight="1" x14ac:dyDescent="0.25">
      <c r="A49" s="71">
        <v>4</v>
      </c>
      <c r="B49" s="91"/>
      <c r="C49" s="341" t="s">
        <v>179</v>
      </c>
      <c r="D49" s="330" t="s">
        <v>180</v>
      </c>
      <c r="E49" s="345">
        <f>E46*15*1.15</f>
        <v>538.20000000000005</v>
      </c>
      <c r="F49" s="122"/>
      <c r="G49" s="64"/>
      <c r="H49" s="93"/>
      <c r="I49" s="74"/>
      <c r="J49" s="64"/>
      <c r="K49" s="68"/>
      <c r="L49" s="112"/>
      <c r="M49" s="64"/>
      <c r="N49" s="64"/>
      <c r="O49" s="64"/>
      <c r="P49" s="68"/>
      <c r="S49" s="94"/>
    </row>
    <row r="50" spans="1:19" s="58" customFormat="1" ht="14.25" customHeight="1" x14ac:dyDescent="0.25">
      <c r="A50" s="71">
        <v>5</v>
      </c>
      <c r="B50" s="91" t="s">
        <v>108</v>
      </c>
      <c r="C50" s="332" t="s">
        <v>229</v>
      </c>
      <c r="D50" s="333" t="s">
        <v>124</v>
      </c>
      <c r="E50" s="347">
        <f>E46</f>
        <v>31.200000000000003</v>
      </c>
      <c r="F50" s="111"/>
      <c r="G50" s="64"/>
      <c r="H50" s="65"/>
      <c r="I50" s="64"/>
      <c r="J50" s="64"/>
      <c r="K50" s="68"/>
      <c r="L50" s="112"/>
      <c r="M50" s="64"/>
      <c r="N50" s="64"/>
      <c r="O50" s="64"/>
      <c r="P50" s="68"/>
      <c r="S50" s="94"/>
    </row>
    <row r="51" spans="1:19" s="58" customFormat="1" ht="14.25" customHeight="1" x14ac:dyDescent="0.25">
      <c r="A51" s="71">
        <v>6</v>
      </c>
      <c r="B51" s="91"/>
      <c r="C51" s="348" t="s">
        <v>176</v>
      </c>
      <c r="D51" s="333" t="s">
        <v>177</v>
      </c>
      <c r="E51" s="347">
        <f>E50*0.15</f>
        <v>4.6800000000000006</v>
      </c>
      <c r="F51" s="111"/>
      <c r="G51" s="64"/>
      <c r="H51" s="65"/>
      <c r="I51" s="64"/>
      <c r="J51" s="64"/>
      <c r="K51" s="68"/>
      <c r="L51" s="112"/>
      <c r="M51" s="64"/>
      <c r="N51" s="64"/>
      <c r="O51" s="64"/>
      <c r="P51" s="68"/>
      <c r="S51" s="94"/>
    </row>
    <row r="52" spans="1:19" s="58" customFormat="1" ht="14.25" customHeight="1" x14ac:dyDescent="0.25">
      <c r="A52" s="71">
        <v>7</v>
      </c>
      <c r="B52" s="91"/>
      <c r="C52" s="348" t="s">
        <v>230</v>
      </c>
      <c r="D52" s="333" t="s">
        <v>180</v>
      </c>
      <c r="E52" s="347">
        <f>E50*3</f>
        <v>93.600000000000009</v>
      </c>
      <c r="F52" s="111"/>
      <c r="G52" s="64"/>
      <c r="H52" s="65"/>
      <c r="I52" s="64"/>
      <c r="J52" s="64"/>
      <c r="K52" s="68"/>
      <c r="L52" s="112"/>
      <c r="M52" s="64"/>
      <c r="N52" s="64"/>
      <c r="O52" s="64"/>
      <c r="P52" s="68"/>
      <c r="S52" s="94"/>
    </row>
    <row r="53" spans="1:19" s="58" customFormat="1" ht="33.75" customHeight="1" x14ac:dyDescent="0.25">
      <c r="A53" s="71">
        <v>8</v>
      </c>
      <c r="B53" s="91" t="s">
        <v>108</v>
      </c>
      <c r="C53" s="332" t="s">
        <v>628</v>
      </c>
      <c r="D53" s="333" t="s">
        <v>110</v>
      </c>
      <c r="E53" s="347">
        <f>11*2</f>
        <v>22</v>
      </c>
      <c r="F53" s="111"/>
      <c r="G53" s="64"/>
      <c r="H53" s="65"/>
      <c r="I53" s="64"/>
      <c r="J53" s="64"/>
      <c r="K53" s="68"/>
      <c r="L53" s="112"/>
      <c r="M53" s="64"/>
      <c r="N53" s="64"/>
      <c r="O53" s="64"/>
      <c r="P53" s="68"/>
      <c r="S53" s="94"/>
    </row>
    <row r="54" spans="1:19" x14ac:dyDescent="0.25">
      <c r="A54" s="26"/>
      <c r="B54" s="120"/>
      <c r="C54" s="120"/>
      <c r="D54" s="120"/>
      <c r="E54" s="128"/>
      <c r="F54" s="26"/>
      <c r="G54" s="120"/>
      <c r="H54" s="120"/>
      <c r="I54" s="120"/>
      <c r="J54" s="120"/>
      <c r="K54" s="121"/>
      <c r="L54" s="129"/>
      <c r="M54" s="120"/>
      <c r="N54" s="120"/>
      <c r="O54" s="120"/>
      <c r="P54" s="121"/>
    </row>
    <row r="55" spans="1:19" ht="15.75" customHeight="1" x14ac:dyDescent="0.25">
      <c r="A55" s="130"/>
      <c r="B55" s="131"/>
      <c r="C55" s="428" t="s">
        <v>136</v>
      </c>
      <c r="D55" s="428"/>
      <c r="E55" s="428"/>
      <c r="F55" s="428"/>
      <c r="G55" s="428"/>
      <c r="H55" s="428"/>
      <c r="I55" s="428"/>
      <c r="J55" s="428"/>
      <c r="K55" s="428"/>
      <c r="L55" s="132">
        <f>SUM(L21:L54)</f>
        <v>0</v>
      </c>
      <c r="M55" s="133">
        <f>SUM(M21:M54)</f>
        <v>0</v>
      </c>
      <c r="N55" s="133">
        <f>SUM(N21:N54)</f>
        <v>0</v>
      </c>
      <c r="O55" s="133">
        <f>SUM(O21:O54)</f>
        <v>0</v>
      </c>
      <c r="P55" s="134">
        <f>SUM(P21:P54)</f>
        <v>0</v>
      </c>
    </row>
    <row r="57" spans="1:19" x14ac:dyDescent="0.25">
      <c r="B57" s="1" t="s">
        <v>26</v>
      </c>
      <c r="C57" s="6">
        <f>KOPTAME!C58</f>
        <v>0</v>
      </c>
      <c r="E57" s="34">
        <f>'KOPS 1'!F42</f>
        <v>0</v>
      </c>
    </row>
    <row r="58" spans="1:19" x14ac:dyDescent="0.25">
      <c r="C58" s="32" t="s">
        <v>86</v>
      </c>
      <c r="E58" s="2"/>
    </row>
    <row r="59" spans="1:19" x14ac:dyDescent="0.25">
      <c r="E59" s="2"/>
    </row>
    <row r="60" spans="1:19" x14ac:dyDescent="0.25">
      <c r="B60" s="5"/>
      <c r="C60" s="33"/>
      <c r="D60" s="2"/>
      <c r="E60" s="2"/>
      <c r="F60" s="42"/>
    </row>
    <row r="61" spans="1:19" x14ac:dyDescent="0.25">
      <c r="E61" s="2"/>
    </row>
    <row r="62" spans="1:19" x14ac:dyDescent="0.25">
      <c r="B62" s="1" t="s">
        <v>28</v>
      </c>
      <c r="C62" s="6">
        <f>KOPTAME!C63</f>
        <v>0</v>
      </c>
      <c r="E62" s="34">
        <f>E57</f>
        <v>0</v>
      </c>
    </row>
    <row r="63" spans="1:19" x14ac:dyDescent="0.25">
      <c r="C63" s="32" t="s">
        <v>86</v>
      </c>
    </row>
    <row r="65" spans="3:3" x14ac:dyDescent="0.25">
      <c r="C65" s="1">
        <f>KOPTAME!C68</f>
        <v>0</v>
      </c>
    </row>
    <row r="67" spans="3:3" x14ac:dyDescent="0.25">
      <c r="C67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55:K55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MJ51"/>
  <sheetViews>
    <sheetView view="pageBreakPreview" topLeftCell="A7" zoomScaleNormal="100" workbookViewId="0">
      <selection activeCell="M33" sqref="M33"/>
    </sheetView>
  </sheetViews>
  <sheetFormatPr defaultColWidth="9.140625" defaultRowHeight="15" x14ac:dyDescent="0.25"/>
  <cols>
    <col min="1" max="2" width="9.140625" style="1"/>
    <col min="3" max="3" width="32.5703125" style="1" customWidth="1"/>
    <col min="4" max="4" width="7.5703125" style="1" customWidth="1"/>
    <col min="5" max="5" width="7.140625" style="1" customWidth="1"/>
    <col min="6" max="10" width="7.7109375" style="1" customWidth="1"/>
    <col min="11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x14ac:dyDescent="0.25">
      <c r="E3" s="426" t="s">
        <v>88</v>
      </c>
      <c r="F3" s="426"/>
      <c r="G3" s="426"/>
      <c r="H3" s="426"/>
      <c r="I3" s="41" t="s">
        <v>53</v>
      </c>
    </row>
    <row r="4" spans="1:16" x14ac:dyDescent="0.25">
      <c r="D4" s="415" t="s">
        <v>55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>
        <f>P39</f>
        <v>0</v>
      </c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7" spans="1:19" ht="15.75" thickBot="1" x14ac:dyDescent="0.3"/>
    <row r="18" spans="1:19" ht="15" customHeight="1" thickBot="1" x14ac:dyDescent="0.3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9" ht="63.4" customHeight="1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9" ht="15.75" thickBot="1" x14ac:dyDescent="0.3">
      <c r="A20" s="95">
        <v>1</v>
      </c>
      <c r="B20" s="96">
        <v>2</v>
      </c>
      <c r="C20" s="96">
        <v>3</v>
      </c>
      <c r="D20" s="96">
        <v>4</v>
      </c>
      <c r="E20" s="98">
        <v>5</v>
      </c>
      <c r="F20" s="95">
        <v>6</v>
      </c>
      <c r="G20" s="96">
        <v>7</v>
      </c>
      <c r="H20" s="96">
        <v>8</v>
      </c>
      <c r="I20" s="96">
        <v>9</v>
      </c>
      <c r="J20" s="96">
        <v>10</v>
      </c>
      <c r="K20" s="98">
        <v>11</v>
      </c>
      <c r="L20" s="99">
        <v>12</v>
      </c>
      <c r="M20" s="96">
        <v>13</v>
      </c>
      <c r="N20" s="96">
        <v>14</v>
      </c>
      <c r="O20" s="96">
        <v>15</v>
      </c>
      <c r="P20" s="98">
        <v>16</v>
      </c>
    </row>
    <row r="21" spans="1:19" s="58" customFormat="1" ht="17.25" customHeight="1" x14ac:dyDescent="0.25">
      <c r="A21" s="100"/>
      <c r="B21" s="296"/>
      <c r="C21" s="350" t="s">
        <v>626</v>
      </c>
      <c r="D21" s="299"/>
      <c r="E21" s="300"/>
      <c r="F21" s="297"/>
      <c r="G21" s="103"/>
      <c r="H21" s="298"/>
      <c r="I21" s="103"/>
      <c r="J21" s="103"/>
      <c r="K21" s="142"/>
      <c r="L21" s="143"/>
      <c r="M21" s="103"/>
      <c r="N21" s="103"/>
      <c r="O21" s="103"/>
      <c r="P21" s="144"/>
      <c r="S21" s="94"/>
    </row>
    <row r="22" spans="1:19" s="58" customFormat="1" ht="42" customHeight="1" x14ac:dyDescent="0.25">
      <c r="A22" s="71">
        <v>1</v>
      </c>
      <c r="B22" s="91" t="s">
        <v>108</v>
      </c>
      <c r="C22" s="61" t="s">
        <v>605</v>
      </c>
      <c r="D22" s="60" t="s">
        <v>124</v>
      </c>
      <c r="E22" s="334">
        <f>120.02+49.8</f>
        <v>169.82</v>
      </c>
      <c r="F22" s="92"/>
      <c r="G22" s="64"/>
      <c r="H22" s="93"/>
      <c r="I22" s="64"/>
      <c r="J22" s="64"/>
      <c r="K22" s="66"/>
      <c r="L22" s="67"/>
      <c r="M22" s="64"/>
      <c r="N22" s="64"/>
      <c r="O22" s="64"/>
      <c r="P22" s="68"/>
      <c r="S22" s="94"/>
    </row>
    <row r="23" spans="1:19" s="58" customFormat="1" ht="15.75" customHeight="1" x14ac:dyDescent="0.25">
      <c r="A23" s="71">
        <v>2</v>
      </c>
      <c r="B23" s="91"/>
      <c r="C23" s="123" t="s">
        <v>238</v>
      </c>
      <c r="D23" s="60" t="s">
        <v>171</v>
      </c>
      <c r="E23" s="334">
        <f>E22*0.1*1.3</f>
        <v>22.076599999999999</v>
      </c>
      <c r="F23" s="92"/>
      <c r="G23" s="64"/>
      <c r="H23" s="93"/>
      <c r="I23" s="64"/>
      <c r="J23" s="64"/>
      <c r="K23" s="66"/>
      <c r="L23" s="67"/>
      <c r="M23" s="64"/>
      <c r="N23" s="64"/>
      <c r="O23" s="64"/>
      <c r="P23" s="68"/>
      <c r="S23" s="94"/>
    </row>
    <row r="24" spans="1:19" s="58" customFormat="1" ht="15.75" customHeight="1" x14ac:dyDescent="0.25">
      <c r="A24" s="71">
        <v>3</v>
      </c>
      <c r="B24" s="91" t="s">
        <v>108</v>
      </c>
      <c r="C24" s="61" t="s">
        <v>606</v>
      </c>
      <c r="D24" s="60" t="s">
        <v>124</v>
      </c>
      <c r="E24" s="334">
        <f>E22</f>
        <v>169.82</v>
      </c>
      <c r="F24" s="92"/>
      <c r="G24" s="64"/>
      <c r="H24" s="93"/>
      <c r="I24" s="64"/>
      <c r="J24" s="64"/>
      <c r="K24" s="66"/>
      <c r="L24" s="67"/>
      <c r="M24" s="64"/>
      <c r="N24" s="64"/>
      <c r="O24" s="64"/>
      <c r="P24" s="68"/>
      <c r="S24" s="94"/>
    </row>
    <row r="25" spans="1:19" s="58" customFormat="1" ht="15.75" customHeight="1" x14ac:dyDescent="0.25">
      <c r="A25" s="71">
        <v>4</v>
      </c>
      <c r="B25" s="91"/>
      <c r="C25" s="123" t="s">
        <v>239</v>
      </c>
      <c r="D25" s="60" t="s">
        <v>171</v>
      </c>
      <c r="E25" s="334">
        <f>E24*0.12*1.3</f>
        <v>26.49192</v>
      </c>
      <c r="F25" s="92"/>
      <c r="G25" s="64"/>
      <c r="H25" s="93"/>
      <c r="I25" s="64"/>
      <c r="J25" s="64"/>
      <c r="K25" s="66"/>
      <c r="L25" s="67"/>
      <c r="M25" s="64"/>
      <c r="N25" s="64"/>
      <c r="O25" s="64"/>
      <c r="P25" s="68"/>
      <c r="S25" s="94"/>
    </row>
    <row r="26" spans="1:19" s="58" customFormat="1" ht="15.75" customHeight="1" x14ac:dyDescent="0.25">
      <c r="A26" s="71">
        <v>5</v>
      </c>
      <c r="B26" s="91" t="s">
        <v>108</v>
      </c>
      <c r="C26" s="61" t="s">
        <v>607</v>
      </c>
      <c r="D26" s="60" t="s">
        <v>124</v>
      </c>
      <c r="E26" s="334">
        <f>E22</f>
        <v>169.82</v>
      </c>
      <c r="F26" s="92"/>
      <c r="G26" s="64"/>
      <c r="H26" s="93"/>
      <c r="I26" s="64"/>
      <c r="J26" s="64"/>
      <c r="K26" s="66"/>
      <c r="L26" s="67"/>
      <c r="M26" s="64"/>
      <c r="N26" s="64"/>
      <c r="O26" s="64"/>
      <c r="P26" s="68"/>
      <c r="S26" s="94"/>
    </row>
    <row r="27" spans="1:19" s="58" customFormat="1" ht="15.75" customHeight="1" x14ac:dyDescent="0.25">
      <c r="A27" s="71">
        <v>6</v>
      </c>
      <c r="B27" s="91"/>
      <c r="C27" s="123" t="s">
        <v>241</v>
      </c>
      <c r="D27" s="60" t="s">
        <v>171</v>
      </c>
      <c r="E27" s="334">
        <f>E26*0.08*1.1</f>
        <v>14.94416</v>
      </c>
      <c r="F27" s="92"/>
      <c r="G27" s="64"/>
      <c r="H27" s="93"/>
      <c r="I27" s="64"/>
      <c r="J27" s="64"/>
      <c r="K27" s="66"/>
      <c r="L27" s="67"/>
      <c r="M27" s="64"/>
      <c r="N27" s="64"/>
      <c r="O27" s="64"/>
      <c r="P27" s="68"/>
      <c r="S27" s="94"/>
    </row>
    <row r="28" spans="1:19" s="58" customFormat="1" ht="15.75" customHeight="1" x14ac:dyDescent="0.25">
      <c r="A28" s="71">
        <v>7</v>
      </c>
      <c r="B28" s="91"/>
      <c r="C28" s="108" t="s">
        <v>242</v>
      </c>
      <c r="D28" s="72" t="s">
        <v>243</v>
      </c>
      <c r="E28" s="351">
        <v>2</v>
      </c>
      <c r="F28" s="92"/>
      <c r="G28" s="64"/>
      <c r="H28" s="93"/>
      <c r="I28" s="64"/>
      <c r="J28" s="64"/>
      <c r="K28" s="66"/>
      <c r="L28" s="67"/>
      <c r="M28" s="64"/>
      <c r="N28" s="64"/>
      <c r="O28" s="64"/>
      <c r="P28" s="68"/>
      <c r="S28" s="94"/>
    </row>
    <row r="29" spans="1:19" s="58" customFormat="1" ht="15.75" customHeight="1" x14ac:dyDescent="0.25">
      <c r="A29" s="71">
        <v>8</v>
      </c>
      <c r="B29" s="91"/>
      <c r="C29" s="108" t="s">
        <v>244</v>
      </c>
      <c r="D29" s="72" t="s">
        <v>245</v>
      </c>
      <c r="E29" s="331">
        <v>2</v>
      </c>
      <c r="F29" s="92"/>
      <c r="G29" s="64"/>
      <c r="H29" s="93"/>
      <c r="I29" s="64"/>
      <c r="J29" s="64"/>
      <c r="K29" s="66"/>
      <c r="L29" s="67"/>
      <c r="M29" s="64"/>
      <c r="N29" s="64"/>
      <c r="O29" s="64"/>
      <c r="P29" s="68"/>
      <c r="S29" s="94"/>
    </row>
    <row r="30" spans="1:19" s="58" customFormat="1" ht="15.75" customHeight="1" x14ac:dyDescent="0.25">
      <c r="A30" s="71">
        <v>9</v>
      </c>
      <c r="B30" s="91" t="s">
        <v>108</v>
      </c>
      <c r="C30" s="61" t="s">
        <v>608</v>
      </c>
      <c r="D30" s="60" t="s">
        <v>124</v>
      </c>
      <c r="E30" s="334">
        <f>E22</f>
        <v>169.82</v>
      </c>
      <c r="F30" s="92"/>
      <c r="G30" s="64"/>
      <c r="H30" s="93"/>
      <c r="I30" s="64"/>
      <c r="J30" s="64"/>
      <c r="K30" s="66"/>
      <c r="L30" s="67"/>
      <c r="M30" s="64"/>
      <c r="N30" s="64"/>
      <c r="O30" s="64"/>
      <c r="P30" s="68"/>
      <c r="S30" s="94"/>
    </row>
    <row r="31" spans="1:19" s="58" customFormat="1" ht="15.75" customHeight="1" x14ac:dyDescent="0.25">
      <c r="A31" s="71">
        <v>10</v>
      </c>
      <c r="B31" s="91"/>
      <c r="C31" s="123" t="s">
        <v>609</v>
      </c>
      <c r="D31" s="60" t="s">
        <v>124</v>
      </c>
      <c r="E31" s="334">
        <f>E30*1.05</f>
        <v>178.31100000000001</v>
      </c>
      <c r="F31" s="92"/>
      <c r="G31" s="64"/>
      <c r="H31" s="93"/>
      <c r="I31" s="64"/>
      <c r="J31" s="64"/>
      <c r="K31" s="66"/>
      <c r="L31" s="67"/>
      <c r="M31" s="64"/>
      <c r="N31" s="64"/>
      <c r="O31" s="64"/>
      <c r="P31" s="68"/>
      <c r="S31" s="94"/>
    </row>
    <row r="32" spans="1:19" s="58" customFormat="1" ht="17.25" customHeight="1" x14ac:dyDescent="0.25">
      <c r="A32" s="71">
        <v>11</v>
      </c>
      <c r="B32" s="91" t="s">
        <v>108</v>
      </c>
      <c r="C32" s="61" t="s">
        <v>610</v>
      </c>
      <c r="D32" s="60" t="s">
        <v>124</v>
      </c>
      <c r="E32" s="334">
        <f>E22</f>
        <v>169.82</v>
      </c>
      <c r="F32" s="92"/>
      <c r="G32" s="64"/>
      <c r="H32" s="93"/>
      <c r="I32" s="64"/>
      <c r="J32" s="64"/>
      <c r="K32" s="66"/>
      <c r="L32" s="67"/>
      <c r="M32" s="64"/>
      <c r="N32" s="64"/>
      <c r="O32" s="64"/>
      <c r="P32" s="68"/>
      <c r="S32" s="94"/>
    </row>
    <row r="33" spans="1:19" s="58" customFormat="1" ht="17.25" customHeight="1" x14ac:dyDescent="0.25">
      <c r="A33" s="71">
        <v>12</v>
      </c>
      <c r="B33" s="91"/>
      <c r="C33" s="123" t="s">
        <v>240</v>
      </c>
      <c r="D33" s="60" t="s">
        <v>124</v>
      </c>
      <c r="E33" s="334">
        <f>E32</f>
        <v>169.82</v>
      </c>
      <c r="F33" s="92"/>
      <c r="G33" s="64"/>
      <c r="H33" s="93"/>
      <c r="I33" s="64"/>
      <c r="J33" s="64"/>
      <c r="K33" s="66"/>
      <c r="L33" s="67"/>
      <c r="M33" s="64"/>
      <c r="N33" s="64"/>
      <c r="O33" s="64"/>
      <c r="P33" s="68"/>
      <c r="S33" s="94"/>
    </row>
    <row r="34" spans="1:19" s="58" customFormat="1" ht="17.25" customHeight="1" x14ac:dyDescent="0.25">
      <c r="A34" s="71">
        <v>13</v>
      </c>
      <c r="B34" s="91"/>
      <c r="C34" s="123" t="s">
        <v>241</v>
      </c>
      <c r="D34" s="60" t="s">
        <v>171</v>
      </c>
      <c r="E34" s="334">
        <f>E32*0.06*1.1</f>
        <v>11.208120000000001</v>
      </c>
      <c r="F34" s="92"/>
      <c r="G34" s="64"/>
      <c r="H34" s="93"/>
      <c r="I34" s="64"/>
      <c r="J34" s="64"/>
      <c r="K34" s="66"/>
      <c r="L34" s="67"/>
      <c r="M34" s="64"/>
      <c r="N34" s="64"/>
      <c r="O34" s="64"/>
      <c r="P34" s="68"/>
      <c r="S34" s="94"/>
    </row>
    <row r="35" spans="1:19" s="58" customFormat="1" ht="17.25" customHeight="1" x14ac:dyDescent="0.25">
      <c r="A35" s="71">
        <v>14</v>
      </c>
      <c r="B35" s="91"/>
      <c r="C35" s="108" t="s">
        <v>242</v>
      </c>
      <c r="D35" s="72" t="s">
        <v>243</v>
      </c>
      <c r="E35" s="351">
        <v>2</v>
      </c>
      <c r="F35" s="92"/>
      <c r="G35" s="64"/>
      <c r="H35" s="93"/>
      <c r="I35" s="64"/>
      <c r="J35" s="64"/>
      <c r="K35" s="66"/>
      <c r="L35" s="67"/>
      <c r="M35" s="64"/>
      <c r="N35" s="64"/>
      <c r="O35" s="64"/>
      <c r="P35" s="68"/>
      <c r="S35" s="94"/>
    </row>
    <row r="36" spans="1:19" s="58" customFormat="1" ht="17.25" customHeight="1" x14ac:dyDescent="0.25">
      <c r="A36" s="71">
        <v>15</v>
      </c>
      <c r="B36" s="91"/>
      <c r="C36" s="108" t="s">
        <v>244</v>
      </c>
      <c r="D36" s="72" t="s">
        <v>245</v>
      </c>
      <c r="E36" s="331">
        <v>2</v>
      </c>
      <c r="F36" s="92"/>
      <c r="G36" s="64"/>
      <c r="H36" s="93"/>
      <c r="I36" s="64"/>
      <c r="J36" s="64"/>
      <c r="K36" s="66"/>
      <c r="L36" s="67"/>
      <c r="M36" s="64"/>
      <c r="N36" s="64"/>
      <c r="O36" s="64"/>
      <c r="P36" s="68"/>
      <c r="S36" s="94"/>
    </row>
    <row r="37" spans="1:19" s="58" customFormat="1" ht="17.25" customHeight="1" x14ac:dyDescent="0.25">
      <c r="A37" s="71">
        <v>16</v>
      </c>
      <c r="B37" s="255"/>
      <c r="C37" s="256" t="s">
        <v>246</v>
      </c>
      <c r="D37" s="257" t="s">
        <v>112</v>
      </c>
      <c r="E37" s="352">
        <v>1</v>
      </c>
      <c r="F37" s="258"/>
      <c r="G37" s="259"/>
      <c r="H37" s="260"/>
      <c r="I37" s="259"/>
      <c r="J37" s="259"/>
      <c r="K37" s="261"/>
      <c r="L37" s="262"/>
      <c r="M37" s="259"/>
      <c r="N37" s="259"/>
      <c r="O37" s="259"/>
      <c r="P37" s="263"/>
      <c r="S37" s="94"/>
    </row>
    <row r="38" spans="1:19" s="58" customFormat="1" ht="17.25" customHeight="1" x14ac:dyDescent="0.25">
      <c r="A38" s="71"/>
      <c r="B38" s="91"/>
      <c r="C38" s="123"/>
      <c r="D38" s="60"/>
      <c r="E38" s="62"/>
      <c r="F38" s="92"/>
      <c r="G38" s="64"/>
      <c r="H38" s="93"/>
      <c r="I38" s="64"/>
      <c r="J38" s="64"/>
      <c r="K38" s="66"/>
      <c r="L38" s="67"/>
      <c r="M38" s="64"/>
      <c r="N38" s="64"/>
      <c r="O38" s="64"/>
      <c r="P38" s="68"/>
      <c r="S38" s="94"/>
    </row>
    <row r="39" spans="1:19" ht="15.75" customHeight="1" x14ac:dyDescent="0.25">
      <c r="A39" s="87"/>
      <c r="B39" s="88"/>
      <c r="C39" s="419" t="s">
        <v>136</v>
      </c>
      <c r="D39" s="419"/>
      <c r="E39" s="419"/>
      <c r="F39" s="419"/>
      <c r="G39" s="419"/>
      <c r="H39" s="419"/>
      <c r="I39" s="419"/>
      <c r="J39" s="419"/>
      <c r="K39" s="419"/>
      <c r="L39" s="89">
        <f>SUM(L21:L38)</f>
        <v>0</v>
      </c>
      <c r="M39" s="89">
        <f>SUM(M21:M38)</f>
        <v>0</v>
      </c>
      <c r="N39" s="89">
        <f>SUM(N21:N38)</f>
        <v>0</v>
      </c>
      <c r="O39" s="89">
        <f>SUM(O21:O38)</f>
        <v>0</v>
      </c>
      <c r="P39" s="264">
        <f>SUM(P21:P38)</f>
        <v>0</v>
      </c>
    </row>
    <row r="41" spans="1:19" x14ac:dyDescent="0.25">
      <c r="B41" s="1" t="s">
        <v>26</v>
      </c>
      <c r="C41" s="6">
        <f>KOPTAME!C58</f>
        <v>0</v>
      </c>
      <c r="E41" s="34">
        <f>'KOPS 1'!F42</f>
        <v>0</v>
      </c>
    </row>
    <row r="42" spans="1:19" x14ac:dyDescent="0.25">
      <c r="C42" s="32" t="s">
        <v>86</v>
      </c>
      <c r="E42" s="2"/>
    </row>
    <row r="43" spans="1:19" x14ac:dyDescent="0.25">
      <c r="E43" s="2"/>
    </row>
    <row r="44" spans="1:19" x14ac:dyDescent="0.25">
      <c r="B44" s="5"/>
      <c r="C44" s="33"/>
      <c r="D44" s="2"/>
      <c r="E44" s="2"/>
      <c r="F44" s="42"/>
    </row>
    <row r="45" spans="1:19" x14ac:dyDescent="0.25">
      <c r="E45" s="2"/>
    </row>
    <row r="46" spans="1:19" x14ac:dyDescent="0.25">
      <c r="B46" s="1" t="s">
        <v>28</v>
      </c>
      <c r="C46" s="6">
        <f>KOPTAME!C63</f>
        <v>0</v>
      </c>
      <c r="E46" s="34">
        <f>E41</f>
        <v>0</v>
      </c>
    </row>
    <row r="47" spans="1:19" x14ac:dyDescent="0.25">
      <c r="C47" s="32" t="s">
        <v>86</v>
      </c>
    </row>
    <row r="49" spans="3:3" x14ac:dyDescent="0.25">
      <c r="C49" s="1">
        <f>KOPTAME!C68</f>
        <v>0</v>
      </c>
    </row>
    <row r="51" spans="3:3" x14ac:dyDescent="0.25">
      <c r="C51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39:K39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MJ68"/>
  <sheetViews>
    <sheetView view="pageBreakPreview" topLeftCell="A36" zoomScaleNormal="100" workbookViewId="0">
      <selection activeCell="I49" sqref="I49"/>
    </sheetView>
  </sheetViews>
  <sheetFormatPr defaultColWidth="9.140625" defaultRowHeight="15" x14ac:dyDescent="0.25"/>
  <cols>
    <col min="1" max="1" width="8.28515625" style="1" customWidth="1"/>
    <col min="2" max="2" width="9.28515625" style="1" customWidth="1"/>
    <col min="3" max="3" width="32.85546875" style="1" customWidth="1"/>
    <col min="4" max="4" width="9.140625" style="1"/>
    <col min="5" max="5" width="7.28515625" style="1" customWidth="1"/>
    <col min="6" max="11" width="7.7109375" style="1" customWidth="1"/>
    <col min="12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x14ac:dyDescent="0.25">
      <c r="E3" s="426" t="s">
        <v>88</v>
      </c>
      <c r="F3" s="426"/>
      <c r="G3" s="426"/>
      <c r="H3" s="426"/>
      <c r="I3" s="41" t="s">
        <v>639</v>
      </c>
    </row>
    <row r="4" spans="1:16" x14ac:dyDescent="0.25">
      <c r="D4" s="415" t="s">
        <v>57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>
        <f>P56</f>
        <v>0</v>
      </c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8" spans="1:19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9" ht="70.5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9" x14ac:dyDescent="0.25">
      <c r="A20" s="17">
        <v>1</v>
      </c>
      <c r="B20" s="18">
        <v>2</v>
      </c>
      <c r="C20" s="18">
        <v>3</v>
      </c>
      <c r="D20" s="18">
        <v>4</v>
      </c>
      <c r="E20" s="47">
        <v>5</v>
      </c>
      <c r="F20" s="17">
        <v>6</v>
      </c>
      <c r="G20" s="18">
        <v>7</v>
      </c>
      <c r="H20" s="18">
        <v>8</v>
      </c>
      <c r="I20" s="18">
        <v>9</v>
      </c>
      <c r="J20" s="18">
        <v>10</v>
      </c>
      <c r="K20" s="19">
        <v>11</v>
      </c>
      <c r="L20" s="48">
        <v>12</v>
      </c>
      <c r="M20" s="18">
        <v>13</v>
      </c>
      <c r="N20" s="18">
        <v>14</v>
      </c>
      <c r="O20" s="18">
        <v>15</v>
      </c>
      <c r="P20" s="19">
        <v>16</v>
      </c>
    </row>
    <row r="21" spans="1:19" ht="25.5" x14ac:dyDescent="0.25">
      <c r="A21" s="23"/>
      <c r="B21" s="36"/>
      <c r="C21" s="353" t="s">
        <v>627</v>
      </c>
      <c r="D21" s="354"/>
      <c r="E21" s="355"/>
      <c r="F21" s="23"/>
      <c r="G21" s="36"/>
      <c r="H21" s="36"/>
      <c r="I21" s="36"/>
      <c r="J21" s="36"/>
      <c r="K21" s="109"/>
      <c r="L21" s="110"/>
      <c r="M21" s="36"/>
      <c r="N21" s="36"/>
      <c r="O21" s="36"/>
      <c r="P21" s="109"/>
    </row>
    <row r="22" spans="1:19" ht="16.899999999999999" customHeight="1" x14ac:dyDescent="0.25">
      <c r="A22" s="71">
        <v>1</v>
      </c>
      <c r="B22" s="91" t="s">
        <v>108</v>
      </c>
      <c r="C22" s="329" t="s">
        <v>247</v>
      </c>
      <c r="D22" s="330" t="s">
        <v>124</v>
      </c>
      <c r="E22" s="331">
        <f>21*(9.15)</f>
        <v>192.15</v>
      </c>
      <c r="F22" s="92"/>
      <c r="G22" s="64"/>
      <c r="H22" s="93"/>
      <c r="I22" s="64"/>
      <c r="J22" s="64"/>
      <c r="K22" s="66"/>
      <c r="L22" s="67"/>
      <c r="M22" s="64"/>
      <c r="N22" s="64"/>
      <c r="O22" s="64"/>
      <c r="P22" s="68"/>
    </row>
    <row r="23" spans="1:19" ht="16.899999999999999" customHeight="1" x14ac:dyDescent="0.25">
      <c r="A23" s="71">
        <v>2</v>
      </c>
      <c r="B23" s="91" t="s">
        <v>108</v>
      </c>
      <c r="C23" s="329" t="s">
        <v>248</v>
      </c>
      <c r="D23" s="330" t="s">
        <v>124</v>
      </c>
      <c r="E23" s="331">
        <f>E22</f>
        <v>192.15</v>
      </c>
      <c r="F23" s="92"/>
      <c r="G23" s="64"/>
      <c r="H23" s="93"/>
      <c r="I23" s="64"/>
      <c r="J23" s="64"/>
      <c r="K23" s="66"/>
      <c r="L23" s="67"/>
      <c r="M23" s="64"/>
      <c r="N23" s="64"/>
      <c r="O23" s="64"/>
      <c r="P23" s="68"/>
    </row>
    <row r="24" spans="1:19" s="58" customFormat="1" ht="52.15" customHeight="1" x14ac:dyDescent="0.25">
      <c r="A24" s="71">
        <v>3</v>
      </c>
      <c r="B24" s="91" t="s">
        <v>108</v>
      </c>
      <c r="C24" s="329" t="s">
        <v>249</v>
      </c>
      <c r="D24" s="330" t="s">
        <v>110</v>
      </c>
      <c r="E24" s="331">
        <v>42</v>
      </c>
      <c r="F24" s="92"/>
      <c r="G24" s="64"/>
      <c r="H24" s="93"/>
      <c r="I24" s="64"/>
      <c r="J24" s="64"/>
      <c r="K24" s="66"/>
      <c r="L24" s="67"/>
      <c r="M24" s="64"/>
      <c r="N24" s="64"/>
      <c r="O24" s="64"/>
      <c r="P24" s="68"/>
      <c r="S24" s="94"/>
    </row>
    <row r="25" spans="1:19" s="58" customFormat="1" ht="31.35" customHeight="1" x14ac:dyDescent="0.25">
      <c r="A25" s="71">
        <v>4</v>
      </c>
      <c r="B25" s="91"/>
      <c r="C25" s="341" t="s">
        <v>250</v>
      </c>
      <c r="D25" s="330" t="s">
        <v>171</v>
      </c>
      <c r="E25" s="331">
        <f>(0.3*2+0.8*2)*0.05*0.1*1.15*E24/0.6</f>
        <v>0.88550000000000018</v>
      </c>
      <c r="F25" s="92"/>
      <c r="G25" s="64"/>
      <c r="H25" s="93"/>
      <c r="I25" s="74"/>
      <c r="J25" s="64"/>
      <c r="K25" s="66"/>
      <c r="L25" s="67"/>
      <c r="M25" s="64"/>
      <c r="N25" s="64"/>
      <c r="O25" s="64"/>
      <c r="P25" s="68"/>
      <c r="S25" s="94"/>
    </row>
    <row r="26" spans="1:19" s="58" customFormat="1" ht="31.35" customHeight="1" x14ac:dyDescent="0.25">
      <c r="A26" s="71">
        <v>5</v>
      </c>
      <c r="B26" s="91"/>
      <c r="C26" s="341" t="s">
        <v>251</v>
      </c>
      <c r="D26" s="330" t="s">
        <v>252</v>
      </c>
      <c r="E26" s="331">
        <f>E24*0.1*0.2*1.15</f>
        <v>0.96599999999999997</v>
      </c>
      <c r="F26" s="92"/>
      <c r="G26" s="64"/>
      <c r="H26" s="93"/>
      <c r="I26" s="74"/>
      <c r="J26" s="64"/>
      <c r="K26" s="66"/>
      <c r="L26" s="67"/>
      <c r="M26" s="64"/>
      <c r="N26" s="64"/>
      <c r="O26" s="64"/>
      <c r="P26" s="68"/>
      <c r="S26" s="94"/>
    </row>
    <row r="27" spans="1:19" s="58" customFormat="1" ht="25.9" customHeight="1" x14ac:dyDescent="0.25">
      <c r="A27" s="71">
        <v>6</v>
      </c>
      <c r="B27" s="91"/>
      <c r="C27" s="341" t="s">
        <v>253</v>
      </c>
      <c r="D27" s="330" t="s">
        <v>171</v>
      </c>
      <c r="E27" s="331">
        <f>E24*0.8*0.04*1.15</f>
        <v>1.5456000000000001</v>
      </c>
      <c r="F27" s="92"/>
      <c r="G27" s="64"/>
      <c r="H27" s="93"/>
      <c r="I27" s="74"/>
      <c r="J27" s="64"/>
      <c r="K27" s="66"/>
      <c r="L27" s="67"/>
      <c r="M27" s="64"/>
      <c r="N27" s="64"/>
      <c r="O27" s="64"/>
      <c r="P27" s="68"/>
      <c r="S27" s="94"/>
    </row>
    <row r="28" spans="1:19" s="58" customFormat="1" ht="33.6" customHeight="1" x14ac:dyDescent="0.25">
      <c r="A28" s="71">
        <v>7</v>
      </c>
      <c r="B28" s="91"/>
      <c r="C28" s="341" t="s">
        <v>254</v>
      </c>
      <c r="D28" s="330" t="s">
        <v>112</v>
      </c>
      <c r="E28" s="331">
        <v>1</v>
      </c>
      <c r="F28" s="92"/>
      <c r="G28" s="64"/>
      <c r="H28" s="93"/>
      <c r="I28" s="74"/>
      <c r="J28" s="64"/>
      <c r="K28" s="66"/>
      <c r="L28" s="67"/>
      <c r="M28" s="64"/>
      <c r="N28" s="64"/>
      <c r="O28" s="64"/>
      <c r="P28" s="68"/>
      <c r="S28" s="94"/>
    </row>
    <row r="29" spans="1:19" s="58" customFormat="1" ht="30" customHeight="1" x14ac:dyDescent="0.25">
      <c r="A29" s="71">
        <v>8</v>
      </c>
      <c r="B29" s="91" t="s">
        <v>108</v>
      </c>
      <c r="C29" s="329" t="s">
        <v>255</v>
      </c>
      <c r="D29" s="330" t="s">
        <v>124</v>
      </c>
      <c r="E29" s="331">
        <f>(2.76+0.38+5.72+0.38+2.8+0.15+2.8+0.38+2.36+0.2+3.14)*(4.1+3.05+1.38+0.2*2)</f>
        <v>188.1551</v>
      </c>
      <c r="F29" s="92"/>
      <c r="G29" s="64"/>
      <c r="H29" s="93"/>
      <c r="I29" s="64"/>
      <c r="J29" s="64"/>
      <c r="K29" s="66"/>
      <c r="L29" s="67"/>
      <c r="M29" s="64"/>
      <c r="N29" s="64"/>
      <c r="O29" s="64"/>
      <c r="P29" s="68"/>
      <c r="S29" s="94"/>
    </row>
    <row r="30" spans="1:19" s="58" customFormat="1" ht="15.6" customHeight="1" x14ac:dyDescent="0.25">
      <c r="A30" s="71">
        <v>9</v>
      </c>
      <c r="B30" s="91"/>
      <c r="C30" s="341" t="s">
        <v>256</v>
      </c>
      <c r="D30" s="330" t="s">
        <v>171</v>
      </c>
      <c r="E30" s="331">
        <f>E29*0.3*1.05</f>
        <v>59.268856500000005</v>
      </c>
      <c r="F30" s="92"/>
      <c r="G30" s="64"/>
      <c r="H30" s="93"/>
      <c r="I30" s="64"/>
      <c r="J30" s="64"/>
      <c r="K30" s="66"/>
      <c r="L30" s="67"/>
      <c r="M30" s="64"/>
      <c r="N30" s="64"/>
      <c r="O30" s="64"/>
      <c r="P30" s="68"/>
      <c r="S30" s="94"/>
    </row>
    <row r="31" spans="1:19" s="58" customFormat="1" ht="15.6" customHeight="1" x14ac:dyDescent="0.25">
      <c r="A31" s="71">
        <v>10</v>
      </c>
      <c r="B31" s="91" t="s">
        <v>108</v>
      </c>
      <c r="C31" s="329" t="s">
        <v>257</v>
      </c>
      <c r="D31" s="330" t="s">
        <v>124</v>
      </c>
      <c r="E31" s="331">
        <f>E29</f>
        <v>188.1551</v>
      </c>
      <c r="F31" s="92"/>
      <c r="G31" s="64"/>
      <c r="H31" s="93"/>
      <c r="I31" s="64"/>
      <c r="J31" s="64"/>
      <c r="K31" s="66"/>
      <c r="L31" s="67"/>
      <c r="M31" s="64"/>
      <c r="N31" s="64"/>
      <c r="O31" s="64"/>
      <c r="P31" s="68"/>
      <c r="S31" s="94"/>
    </row>
    <row r="32" spans="1:19" s="58" customFormat="1" ht="15.6" customHeight="1" x14ac:dyDescent="0.25">
      <c r="A32" s="71">
        <v>11</v>
      </c>
      <c r="B32" s="91"/>
      <c r="C32" s="341" t="s">
        <v>258</v>
      </c>
      <c r="D32" s="330" t="s">
        <v>124</v>
      </c>
      <c r="E32" s="331">
        <f>E31*1.25</f>
        <v>235.19387499999999</v>
      </c>
      <c r="F32" s="92"/>
      <c r="G32" s="64"/>
      <c r="H32" s="93"/>
      <c r="I32" s="64"/>
      <c r="J32" s="64"/>
      <c r="K32" s="66"/>
      <c r="L32" s="67"/>
      <c r="M32" s="64"/>
      <c r="N32" s="64"/>
      <c r="O32" s="64"/>
      <c r="P32" s="68"/>
      <c r="S32" s="94"/>
    </row>
    <row r="33" spans="1:19" s="58" customFormat="1" ht="30.6" customHeight="1" x14ac:dyDescent="0.25">
      <c r="A33" s="71">
        <v>12</v>
      </c>
      <c r="B33" s="91" t="s">
        <v>108</v>
      </c>
      <c r="C33" s="329" t="s">
        <v>259</v>
      </c>
      <c r="D33" s="330" t="s">
        <v>124</v>
      </c>
      <c r="E33" s="331">
        <f>21.977*6.13*2</f>
        <v>269.43801999999999</v>
      </c>
      <c r="F33" s="92"/>
      <c r="G33" s="64"/>
      <c r="H33" s="93"/>
      <c r="I33" s="74"/>
      <c r="J33" s="74"/>
      <c r="K33" s="66"/>
      <c r="L33" s="67"/>
      <c r="M33" s="64"/>
      <c r="N33" s="64"/>
      <c r="O33" s="64"/>
      <c r="P33" s="68"/>
      <c r="S33" s="94"/>
    </row>
    <row r="34" spans="1:19" s="58" customFormat="1" ht="16.350000000000001" customHeight="1" x14ac:dyDescent="0.25">
      <c r="A34" s="71">
        <v>13</v>
      </c>
      <c r="B34" s="91"/>
      <c r="C34" s="341" t="s">
        <v>260</v>
      </c>
      <c r="D34" s="330" t="s">
        <v>171</v>
      </c>
      <c r="E34" s="331">
        <f>E33*0.05*0.2*1.15*2*0.1</f>
        <v>0.61970744600000005</v>
      </c>
      <c r="F34" s="92"/>
      <c r="G34" s="64"/>
      <c r="H34" s="93"/>
      <c r="I34" s="74"/>
      <c r="J34" s="74"/>
      <c r="K34" s="66"/>
      <c r="L34" s="67"/>
      <c r="M34" s="64"/>
      <c r="N34" s="64"/>
      <c r="O34" s="64"/>
      <c r="P34" s="68"/>
      <c r="S34" s="94"/>
    </row>
    <row r="35" spans="1:19" s="58" customFormat="1" ht="16.350000000000001" customHeight="1" x14ac:dyDescent="0.25">
      <c r="A35" s="71">
        <v>14</v>
      </c>
      <c r="B35" s="91"/>
      <c r="C35" s="341" t="s">
        <v>261</v>
      </c>
      <c r="D35" s="330" t="s">
        <v>177</v>
      </c>
      <c r="E35" s="331">
        <f>E33*2*0.5*0.35*1.15</f>
        <v>108.44880304999998</v>
      </c>
      <c r="F35" s="92"/>
      <c r="G35" s="64"/>
      <c r="H35" s="93"/>
      <c r="I35" s="64"/>
      <c r="J35" s="64"/>
      <c r="K35" s="66"/>
      <c r="L35" s="67"/>
      <c r="M35" s="64"/>
      <c r="N35" s="64"/>
      <c r="O35" s="64"/>
      <c r="P35" s="68"/>
      <c r="S35" s="94"/>
    </row>
    <row r="36" spans="1:19" s="58" customFormat="1" ht="16.350000000000001" customHeight="1" x14ac:dyDescent="0.25">
      <c r="A36" s="71">
        <v>15</v>
      </c>
      <c r="B36" s="91"/>
      <c r="C36" s="341" t="s">
        <v>262</v>
      </c>
      <c r="D36" s="330" t="s">
        <v>112</v>
      </c>
      <c r="E36" s="331">
        <v>1</v>
      </c>
      <c r="F36" s="92"/>
      <c r="G36" s="64"/>
      <c r="H36" s="93"/>
      <c r="I36" s="64"/>
      <c r="J36" s="64"/>
      <c r="K36" s="66"/>
      <c r="L36" s="67"/>
      <c r="M36" s="64"/>
      <c r="N36" s="64"/>
      <c r="O36" s="64"/>
      <c r="P36" s="68"/>
      <c r="S36" s="94"/>
    </row>
    <row r="37" spans="1:19" s="58" customFormat="1" ht="16.350000000000001" customHeight="1" x14ac:dyDescent="0.25">
      <c r="A37" s="71">
        <v>16</v>
      </c>
      <c r="B37" s="91" t="s">
        <v>108</v>
      </c>
      <c r="C37" s="329" t="s">
        <v>263</v>
      </c>
      <c r="D37" s="330" t="s">
        <v>124</v>
      </c>
      <c r="E37" s="331">
        <f>E33</f>
        <v>269.43801999999999</v>
      </c>
      <c r="F37" s="92"/>
      <c r="G37" s="64"/>
      <c r="H37" s="93"/>
      <c r="I37" s="74"/>
      <c r="J37" s="74"/>
      <c r="K37" s="66"/>
      <c r="L37" s="67"/>
      <c r="M37" s="64"/>
      <c r="N37" s="64"/>
      <c r="O37" s="64"/>
      <c r="P37" s="68"/>
      <c r="S37" s="94"/>
    </row>
    <row r="38" spans="1:19" s="58" customFormat="1" ht="16.350000000000001" customHeight="1" x14ac:dyDescent="0.25">
      <c r="A38" s="71">
        <v>17</v>
      </c>
      <c r="B38" s="91"/>
      <c r="C38" s="341" t="s">
        <v>264</v>
      </c>
      <c r="D38" s="330" t="s">
        <v>171</v>
      </c>
      <c r="E38" s="331">
        <f>E37*0.05*0.05*3*1.15*0.3</f>
        <v>0.69717087674999989</v>
      </c>
      <c r="F38" s="92"/>
      <c r="G38" s="64"/>
      <c r="H38" s="93"/>
      <c r="I38" s="74"/>
      <c r="J38" s="74"/>
      <c r="K38" s="66"/>
      <c r="L38" s="67"/>
      <c r="M38" s="64"/>
      <c r="N38" s="64"/>
      <c r="O38" s="64"/>
      <c r="P38" s="68"/>
      <c r="S38" s="94"/>
    </row>
    <row r="39" spans="1:19" s="58" customFormat="1" ht="16.350000000000001" customHeight="1" x14ac:dyDescent="0.25">
      <c r="A39" s="71">
        <v>18</v>
      </c>
      <c r="B39" s="91"/>
      <c r="C39" s="341" t="s">
        <v>265</v>
      </c>
      <c r="D39" s="330" t="s">
        <v>124</v>
      </c>
      <c r="E39" s="331">
        <f>2*21.977*1.15</f>
        <v>50.5471</v>
      </c>
      <c r="F39" s="92"/>
      <c r="G39" s="64"/>
      <c r="H39" s="93"/>
      <c r="I39" s="74"/>
      <c r="J39" s="74"/>
      <c r="K39" s="66"/>
      <c r="L39" s="67"/>
      <c r="M39" s="64"/>
      <c r="N39" s="64"/>
      <c r="O39" s="64"/>
      <c r="P39" s="68"/>
      <c r="S39" s="94"/>
    </row>
    <row r="40" spans="1:19" s="58" customFormat="1" ht="16.350000000000001" customHeight="1" x14ac:dyDescent="0.25">
      <c r="A40" s="71">
        <v>19</v>
      </c>
      <c r="B40" s="91"/>
      <c r="C40" s="341" t="s">
        <v>262</v>
      </c>
      <c r="D40" s="330" t="s">
        <v>112</v>
      </c>
      <c r="E40" s="331">
        <v>1</v>
      </c>
      <c r="F40" s="92"/>
      <c r="G40" s="64"/>
      <c r="H40" s="93"/>
      <c r="I40" s="64"/>
      <c r="J40" s="64"/>
      <c r="K40" s="66"/>
      <c r="L40" s="67"/>
      <c r="M40" s="64"/>
      <c r="N40" s="64"/>
      <c r="O40" s="64"/>
      <c r="P40" s="68"/>
      <c r="S40" s="94"/>
    </row>
    <row r="41" spans="1:19" s="58" customFormat="1" ht="16.350000000000001" customHeight="1" x14ac:dyDescent="0.25">
      <c r="A41" s="71">
        <v>20</v>
      </c>
      <c r="B41" s="91" t="s">
        <v>108</v>
      </c>
      <c r="C41" s="329" t="s">
        <v>266</v>
      </c>
      <c r="D41" s="330" t="s">
        <v>124</v>
      </c>
      <c r="E41" s="331">
        <f>E33</f>
        <v>269.43801999999999</v>
      </c>
      <c r="F41" s="92"/>
      <c r="G41" s="64"/>
      <c r="H41" s="93"/>
      <c r="I41" s="74"/>
      <c r="J41" s="74"/>
      <c r="K41" s="66"/>
      <c r="L41" s="67"/>
      <c r="M41" s="64"/>
      <c r="N41" s="64"/>
      <c r="O41" s="64"/>
      <c r="P41" s="68"/>
      <c r="S41" s="94"/>
    </row>
    <row r="42" spans="1:19" s="58" customFormat="1" ht="16.350000000000001" customHeight="1" x14ac:dyDescent="0.25">
      <c r="A42" s="71">
        <v>21</v>
      </c>
      <c r="B42" s="91"/>
      <c r="C42" s="341" t="s">
        <v>267</v>
      </c>
      <c r="D42" s="330" t="s">
        <v>124</v>
      </c>
      <c r="E42" s="331">
        <f>E41*1.15</f>
        <v>309.85372299999995</v>
      </c>
      <c r="F42" s="92"/>
      <c r="G42" s="64"/>
      <c r="H42" s="93"/>
      <c r="I42" s="74"/>
      <c r="J42" s="74"/>
      <c r="K42" s="66"/>
      <c r="L42" s="67"/>
      <c r="M42" s="64"/>
      <c r="N42" s="64"/>
      <c r="O42" s="64"/>
      <c r="P42" s="68"/>
      <c r="S42" s="94"/>
    </row>
    <row r="43" spans="1:19" s="58" customFormat="1" ht="28.9" customHeight="1" x14ac:dyDescent="0.25">
      <c r="A43" s="71">
        <v>22</v>
      </c>
      <c r="B43" s="91"/>
      <c r="C43" s="341" t="s">
        <v>268</v>
      </c>
      <c r="D43" s="330" t="s">
        <v>110</v>
      </c>
      <c r="E43" s="331">
        <f>22+10.4*2+10</f>
        <v>52.8</v>
      </c>
      <c r="F43" s="92"/>
      <c r="G43" s="64"/>
      <c r="H43" s="93"/>
      <c r="I43" s="74"/>
      <c r="J43" s="74"/>
      <c r="K43" s="66"/>
      <c r="L43" s="67"/>
      <c r="M43" s="64"/>
      <c r="N43" s="64"/>
      <c r="O43" s="64"/>
      <c r="P43" s="68"/>
      <c r="S43" s="94"/>
    </row>
    <row r="44" spans="1:19" s="58" customFormat="1" ht="16.350000000000001" customHeight="1" x14ac:dyDescent="0.25">
      <c r="A44" s="71">
        <v>23</v>
      </c>
      <c r="B44" s="91"/>
      <c r="C44" s="341" t="s">
        <v>262</v>
      </c>
      <c r="D44" s="330" t="s">
        <v>112</v>
      </c>
      <c r="E44" s="331">
        <v>1</v>
      </c>
      <c r="F44" s="92"/>
      <c r="G44" s="64"/>
      <c r="H44" s="93"/>
      <c r="I44" s="64"/>
      <c r="J44" s="64"/>
      <c r="K44" s="66"/>
      <c r="L44" s="67"/>
      <c r="M44" s="64"/>
      <c r="N44" s="64"/>
      <c r="O44" s="64"/>
      <c r="P44" s="68"/>
      <c r="S44" s="94"/>
    </row>
    <row r="45" spans="1:19" s="58" customFormat="1" ht="28.15" customHeight="1" x14ac:dyDescent="0.25">
      <c r="A45" s="71">
        <v>24</v>
      </c>
      <c r="B45" s="91" t="s">
        <v>108</v>
      </c>
      <c r="C45" s="329" t="s">
        <v>269</v>
      </c>
      <c r="D45" s="330" t="s">
        <v>110</v>
      </c>
      <c r="E45" s="331">
        <f>2*21.977</f>
        <v>43.954000000000001</v>
      </c>
      <c r="F45" s="92"/>
      <c r="G45" s="64"/>
      <c r="H45" s="93"/>
      <c r="I45" s="74"/>
      <c r="J45" s="74"/>
      <c r="K45" s="66"/>
      <c r="L45" s="67"/>
      <c r="M45" s="64"/>
      <c r="N45" s="64"/>
      <c r="O45" s="64"/>
      <c r="P45" s="68"/>
      <c r="S45" s="94"/>
    </row>
    <row r="46" spans="1:19" s="58" customFormat="1" ht="16.350000000000001" customHeight="1" x14ac:dyDescent="0.25">
      <c r="A46" s="71">
        <v>25</v>
      </c>
      <c r="B46" s="91"/>
      <c r="C46" s="341" t="s">
        <v>270</v>
      </c>
      <c r="D46" s="330" t="s">
        <v>124</v>
      </c>
      <c r="E46" s="331">
        <f>E45*(0.7+0.25)*1.2</f>
        <v>50.107559999999992</v>
      </c>
      <c r="F46" s="92"/>
      <c r="G46" s="64"/>
      <c r="H46" s="93"/>
      <c r="I46" s="74"/>
      <c r="J46" s="74"/>
      <c r="K46" s="66"/>
      <c r="L46" s="67"/>
      <c r="M46" s="64"/>
      <c r="N46" s="64"/>
      <c r="O46" s="64"/>
      <c r="P46" s="68"/>
      <c r="S46" s="94"/>
    </row>
    <row r="47" spans="1:19" s="58" customFormat="1" ht="16.350000000000001" customHeight="1" x14ac:dyDescent="0.25">
      <c r="A47" s="71">
        <v>26</v>
      </c>
      <c r="B47" s="91"/>
      <c r="C47" s="341" t="s">
        <v>262</v>
      </c>
      <c r="D47" s="330" t="s">
        <v>112</v>
      </c>
      <c r="E47" s="331">
        <v>1</v>
      </c>
      <c r="F47" s="92"/>
      <c r="G47" s="64"/>
      <c r="H47" s="93"/>
      <c r="I47" s="64"/>
      <c r="J47" s="64"/>
      <c r="K47" s="66"/>
      <c r="L47" s="67"/>
      <c r="M47" s="64"/>
      <c r="N47" s="64"/>
      <c r="O47" s="64"/>
      <c r="P47" s="68"/>
      <c r="S47" s="94"/>
    </row>
    <row r="48" spans="1:19" s="58" customFormat="1" ht="27.6" customHeight="1" x14ac:dyDescent="0.25">
      <c r="A48" s="71">
        <v>27</v>
      </c>
      <c r="B48" s="91" t="s">
        <v>108</v>
      </c>
      <c r="C48" s="329" t="s">
        <v>271</v>
      </c>
      <c r="D48" s="330" t="s">
        <v>110</v>
      </c>
      <c r="E48" s="331">
        <f>21.977*2</f>
        <v>43.954000000000001</v>
      </c>
      <c r="F48" s="92"/>
      <c r="G48" s="64"/>
      <c r="H48" s="93"/>
      <c r="I48" s="74"/>
      <c r="J48" s="74"/>
      <c r="K48" s="66"/>
      <c r="L48" s="67"/>
      <c r="M48" s="64"/>
      <c r="N48" s="64"/>
      <c r="O48" s="64"/>
      <c r="P48" s="68"/>
      <c r="S48" s="94"/>
    </row>
    <row r="49" spans="1:19" s="58" customFormat="1" ht="27.6" customHeight="1" x14ac:dyDescent="0.25">
      <c r="A49" s="71">
        <v>28</v>
      </c>
      <c r="B49" s="91" t="s">
        <v>108</v>
      </c>
      <c r="C49" s="329" t="s">
        <v>272</v>
      </c>
      <c r="D49" s="330" t="s">
        <v>110</v>
      </c>
      <c r="E49" s="331">
        <f>6*6.9</f>
        <v>41.400000000000006</v>
      </c>
      <c r="F49" s="92"/>
      <c r="G49" s="64"/>
      <c r="H49" s="93"/>
      <c r="I49" s="74"/>
      <c r="J49" s="74"/>
      <c r="K49" s="66"/>
      <c r="L49" s="67"/>
      <c r="M49" s="64"/>
      <c r="N49" s="64"/>
      <c r="O49" s="64"/>
      <c r="P49" s="68"/>
      <c r="S49" s="94"/>
    </row>
    <row r="50" spans="1:19" s="58" customFormat="1" ht="27.6" customHeight="1" x14ac:dyDescent="0.25">
      <c r="A50" s="71">
        <v>29</v>
      </c>
      <c r="B50" s="91" t="s">
        <v>108</v>
      </c>
      <c r="C50" s="329" t="s">
        <v>273</v>
      </c>
      <c r="D50" s="330" t="s">
        <v>110</v>
      </c>
      <c r="E50" s="331">
        <v>29.2</v>
      </c>
      <c r="F50" s="92"/>
      <c r="G50" s="64"/>
      <c r="H50" s="93"/>
      <c r="I50" s="74"/>
      <c r="J50" s="74"/>
      <c r="K50" s="66"/>
      <c r="L50" s="67"/>
      <c r="M50" s="64"/>
      <c r="N50" s="64"/>
      <c r="O50" s="64"/>
      <c r="P50" s="68"/>
      <c r="S50" s="94"/>
    </row>
    <row r="51" spans="1:19" s="58" customFormat="1" ht="40.15" customHeight="1" x14ac:dyDescent="0.25">
      <c r="A51" s="71">
        <v>30</v>
      </c>
      <c r="B51" s="91" t="s">
        <v>108</v>
      </c>
      <c r="C51" s="329" t="s">
        <v>274</v>
      </c>
      <c r="D51" s="330" t="s">
        <v>112</v>
      </c>
      <c r="E51" s="331">
        <v>1</v>
      </c>
      <c r="F51" s="92"/>
      <c r="G51" s="64"/>
      <c r="H51" s="93"/>
      <c r="I51" s="74"/>
      <c r="J51" s="74"/>
      <c r="K51" s="66"/>
      <c r="L51" s="67"/>
      <c r="M51" s="64"/>
      <c r="N51" s="64"/>
      <c r="O51" s="64"/>
      <c r="P51" s="68"/>
      <c r="S51" s="94"/>
    </row>
    <row r="52" spans="1:19" s="58" customFormat="1" ht="29.1" customHeight="1" x14ac:dyDescent="0.25">
      <c r="A52" s="71">
        <v>31</v>
      </c>
      <c r="B52" s="91" t="s">
        <v>108</v>
      </c>
      <c r="C52" s="329" t="s">
        <v>275</v>
      </c>
      <c r="D52" s="330" t="s">
        <v>112</v>
      </c>
      <c r="E52" s="331">
        <v>1</v>
      </c>
      <c r="F52" s="92"/>
      <c r="G52" s="64"/>
      <c r="H52" s="93"/>
      <c r="I52" s="74"/>
      <c r="J52" s="74"/>
      <c r="K52" s="66"/>
      <c r="L52" s="67"/>
      <c r="M52" s="64"/>
      <c r="N52" s="64"/>
      <c r="O52" s="64"/>
      <c r="P52" s="68"/>
      <c r="S52" s="94"/>
    </row>
    <row r="53" spans="1:19" ht="19.7" customHeight="1" x14ac:dyDescent="0.25">
      <c r="A53" s="116"/>
      <c r="B53" s="117"/>
      <c r="C53" s="335" t="s">
        <v>276</v>
      </c>
      <c r="D53" s="336"/>
      <c r="E53" s="337"/>
      <c r="F53" s="116"/>
      <c r="G53" s="117"/>
      <c r="H53" s="117"/>
      <c r="I53" s="117"/>
      <c r="J53" s="117"/>
      <c r="K53" s="118"/>
      <c r="L53" s="119"/>
      <c r="M53" s="117"/>
      <c r="N53" s="117"/>
      <c r="O53" s="117"/>
      <c r="P53" s="118"/>
    </row>
    <row r="54" spans="1:19" s="58" customFormat="1" ht="29.1" customHeight="1" x14ac:dyDescent="0.25">
      <c r="A54" s="135">
        <v>1</v>
      </c>
      <c r="B54" s="136" t="s">
        <v>108</v>
      </c>
      <c r="C54" s="356" t="s">
        <v>277</v>
      </c>
      <c r="D54" s="357" t="s">
        <v>112</v>
      </c>
      <c r="E54" s="331">
        <v>1</v>
      </c>
      <c r="F54" s="92"/>
      <c r="G54" s="64"/>
      <c r="H54" s="93"/>
      <c r="I54" s="74"/>
      <c r="J54" s="74"/>
      <c r="K54" s="66"/>
      <c r="L54" s="67"/>
      <c r="M54" s="64"/>
      <c r="N54" s="64"/>
      <c r="O54" s="64"/>
      <c r="P54" s="68"/>
      <c r="S54" s="94"/>
    </row>
    <row r="55" spans="1:19" x14ac:dyDescent="0.25">
      <c r="A55" s="82"/>
      <c r="B55" s="83"/>
      <c r="C55" s="83"/>
      <c r="D55" s="83"/>
      <c r="E55" s="84"/>
      <c r="F55" s="82"/>
      <c r="G55" s="83"/>
      <c r="H55" s="83"/>
      <c r="I55" s="83"/>
      <c r="J55" s="83"/>
      <c r="K55" s="85"/>
      <c r="L55" s="86"/>
      <c r="M55" s="83"/>
      <c r="N55" s="83"/>
      <c r="O55" s="83"/>
      <c r="P55" s="85"/>
    </row>
    <row r="56" spans="1:19" ht="15.75" customHeight="1" x14ac:dyDescent="0.25">
      <c r="A56" s="87"/>
      <c r="B56" s="88"/>
      <c r="C56" s="419" t="s">
        <v>136</v>
      </c>
      <c r="D56" s="419"/>
      <c r="E56" s="419"/>
      <c r="F56" s="419"/>
      <c r="G56" s="419"/>
      <c r="H56" s="419"/>
      <c r="I56" s="419"/>
      <c r="J56" s="419"/>
      <c r="K56" s="419"/>
      <c r="L56" s="89">
        <f>SUM(L21:L55)</f>
        <v>0</v>
      </c>
      <c r="M56" s="90">
        <f>SUM(M21:M55)</f>
        <v>0</v>
      </c>
      <c r="N56" s="90">
        <f>SUM(N21:N55)</f>
        <v>0</v>
      </c>
      <c r="O56" s="90">
        <f>SUM(O21:O55)</f>
        <v>0</v>
      </c>
      <c r="P56" s="21">
        <f>SUM(P21:P55)</f>
        <v>0</v>
      </c>
    </row>
    <row r="58" spans="1:19" x14ac:dyDescent="0.25">
      <c r="B58" s="1" t="s">
        <v>26</v>
      </c>
      <c r="C58" s="6">
        <f>KOPTAME!C58</f>
        <v>0</v>
      </c>
      <c r="E58" s="34">
        <f>'KOPS 1'!F42</f>
        <v>0</v>
      </c>
    </row>
    <row r="59" spans="1:19" x14ac:dyDescent="0.25">
      <c r="C59" s="32" t="s">
        <v>86</v>
      </c>
      <c r="E59" s="2"/>
    </row>
    <row r="60" spans="1:19" x14ac:dyDescent="0.25">
      <c r="E60" s="2"/>
    </row>
    <row r="61" spans="1:19" x14ac:dyDescent="0.25">
      <c r="B61" s="5"/>
      <c r="C61" s="33"/>
      <c r="D61" s="2"/>
      <c r="E61" s="2"/>
      <c r="F61" s="42"/>
    </row>
    <row r="62" spans="1:19" x14ac:dyDescent="0.25">
      <c r="E62" s="2"/>
    </row>
    <row r="63" spans="1:19" x14ac:dyDescent="0.25">
      <c r="B63" s="1" t="s">
        <v>28</v>
      </c>
      <c r="C63" s="6">
        <f>KOPTAME!C63</f>
        <v>0</v>
      </c>
      <c r="E63" s="34">
        <f>E58</f>
        <v>0</v>
      </c>
    </row>
    <row r="64" spans="1:19" x14ac:dyDescent="0.25">
      <c r="C64" s="32" t="s">
        <v>86</v>
      </c>
    </row>
    <row r="66" spans="3:3" x14ac:dyDescent="0.25">
      <c r="C66" s="1">
        <f>KOPTAME!C68</f>
        <v>0</v>
      </c>
    </row>
    <row r="68" spans="3:3" x14ac:dyDescent="0.25">
      <c r="C68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56:K56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MJ65"/>
  <sheetViews>
    <sheetView view="pageBreakPreview" topLeftCell="A19" zoomScaleNormal="100" workbookViewId="0">
      <selection activeCell="K24" sqref="K24"/>
    </sheetView>
  </sheetViews>
  <sheetFormatPr defaultColWidth="9.140625" defaultRowHeight="15" x14ac:dyDescent="0.25"/>
  <cols>
    <col min="1" max="2" width="9.140625" style="1"/>
    <col min="3" max="3" width="32.85546875" style="1" customWidth="1"/>
    <col min="4" max="4" width="6.28515625" style="1" customWidth="1"/>
    <col min="5" max="5" width="7.140625" style="1" customWidth="1"/>
    <col min="6" max="8" width="6.5703125" style="1" customWidth="1"/>
    <col min="9" max="9" width="7.42578125" style="1" customWidth="1"/>
    <col min="10" max="10" width="6.5703125" style="1" customWidth="1"/>
    <col min="11" max="11" width="7.7109375" style="1" customWidth="1"/>
    <col min="12" max="16" width="9.140625" style="1"/>
    <col min="17" max="17" width="12.7109375" style="1" customWidth="1"/>
    <col min="18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x14ac:dyDescent="0.25">
      <c r="E3" s="426" t="s">
        <v>88</v>
      </c>
      <c r="F3" s="426"/>
      <c r="G3" s="426"/>
      <c r="H3" s="426"/>
      <c r="I3" s="41" t="s">
        <v>642</v>
      </c>
    </row>
    <row r="4" spans="1:16" x14ac:dyDescent="0.25">
      <c r="D4" s="415" t="s">
        <v>59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>
        <f>P53</f>
        <v>0</v>
      </c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8" spans="1:19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9" ht="70.5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9" x14ac:dyDescent="0.25">
      <c r="A20" s="17">
        <v>1</v>
      </c>
      <c r="B20" s="18">
        <v>2</v>
      </c>
      <c r="C20" s="18">
        <v>3</v>
      </c>
      <c r="D20" s="18">
        <v>4</v>
      </c>
      <c r="E20" s="47">
        <v>5</v>
      </c>
      <c r="F20" s="17">
        <v>6</v>
      </c>
      <c r="G20" s="18">
        <v>7</v>
      </c>
      <c r="H20" s="18">
        <v>8</v>
      </c>
      <c r="I20" s="18">
        <v>9</v>
      </c>
      <c r="J20" s="18">
        <v>10</v>
      </c>
      <c r="K20" s="19">
        <v>11</v>
      </c>
      <c r="L20" s="48">
        <v>12</v>
      </c>
      <c r="M20" s="18">
        <v>13</v>
      </c>
      <c r="N20" s="18">
        <v>14</v>
      </c>
      <c r="O20" s="18">
        <v>15</v>
      </c>
      <c r="P20" s="19">
        <v>16</v>
      </c>
    </row>
    <row r="21" spans="1:19" x14ac:dyDescent="0.25">
      <c r="A21" s="23"/>
      <c r="B21" s="36"/>
      <c r="C21" s="342" t="s">
        <v>278</v>
      </c>
      <c r="D21" s="354"/>
      <c r="E21" s="355"/>
      <c r="F21" s="23"/>
      <c r="G21" s="36"/>
      <c r="H21" s="36"/>
      <c r="I21" s="36"/>
      <c r="J21" s="36"/>
      <c r="K21" s="109"/>
      <c r="L21" s="110"/>
      <c r="M21" s="36"/>
      <c r="N21" s="36"/>
      <c r="O21" s="36"/>
      <c r="P21" s="109"/>
    </row>
    <row r="22" spans="1:19" ht="51.4" customHeight="1" x14ac:dyDescent="0.25">
      <c r="A22" s="15">
        <v>1</v>
      </c>
      <c r="B22" s="38" t="s">
        <v>108</v>
      </c>
      <c r="C22" s="358" t="s">
        <v>279</v>
      </c>
      <c r="D22" s="333" t="s">
        <v>114</v>
      </c>
      <c r="E22" s="347">
        <v>23</v>
      </c>
      <c r="F22" s="115"/>
      <c r="G22" s="40"/>
      <c r="H22" s="40"/>
      <c r="I22" s="40"/>
      <c r="J22" s="40"/>
      <c r="K22" s="16"/>
      <c r="L22" s="39"/>
      <c r="M22" s="40"/>
      <c r="N22" s="40"/>
      <c r="O22" s="40"/>
      <c r="P22" s="16"/>
      <c r="Q22" s="22"/>
    </row>
    <row r="23" spans="1:19" ht="51.4" customHeight="1" x14ac:dyDescent="0.25">
      <c r="A23" s="15">
        <v>2</v>
      </c>
      <c r="B23" s="38" t="s">
        <v>108</v>
      </c>
      <c r="C23" s="358" t="s">
        <v>280</v>
      </c>
      <c r="D23" s="333" t="s">
        <v>114</v>
      </c>
      <c r="E23" s="347">
        <v>4</v>
      </c>
      <c r="F23" s="115"/>
      <c r="G23" s="40"/>
      <c r="H23" s="40"/>
      <c r="I23" s="40"/>
      <c r="J23" s="40"/>
      <c r="K23" s="16"/>
      <c r="L23" s="39"/>
      <c r="M23" s="40"/>
      <c r="N23" s="40"/>
      <c r="O23" s="40"/>
      <c r="P23" s="16"/>
      <c r="Q23" s="22"/>
    </row>
    <row r="24" spans="1:19" ht="51.4" customHeight="1" x14ac:dyDescent="0.25">
      <c r="A24" s="15">
        <v>3</v>
      </c>
      <c r="B24" s="38" t="s">
        <v>108</v>
      </c>
      <c r="C24" s="358" t="s">
        <v>281</v>
      </c>
      <c r="D24" s="333" t="s">
        <v>114</v>
      </c>
      <c r="E24" s="347">
        <v>3</v>
      </c>
      <c r="F24" s="115"/>
      <c r="G24" s="40"/>
      <c r="H24" s="40"/>
      <c r="I24" s="40"/>
      <c r="J24" s="40"/>
      <c r="K24" s="16"/>
      <c r="L24" s="39"/>
      <c r="M24" s="40"/>
      <c r="N24" s="40"/>
      <c r="O24" s="40"/>
      <c r="P24" s="16"/>
      <c r="Q24" s="22"/>
    </row>
    <row r="25" spans="1:19" ht="51.4" customHeight="1" x14ac:dyDescent="0.25">
      <c r="A25" s="15">
        <v>4</v>
      </c>
      <c r="B25" s="38" t="s">
        <v>108</v>
      </c>
      <c r="C25" s="358" t="s">
        <v>282</v>
      </c>
      <c r="D25" s="333" t="s">
        <v>114</v>
      </c>
      <c r="E25" s="347">
        <v>1</v>
      </c>
      <c r="F25" s="115"/>
      <c r="G25" s="40"/>
      <c r="H25" s="40"/>
      <c r="I25" s="40"/>
      <c r="J25" s="40"/>
      <c r="K25" s="16"/>
      <c r="L25" s="39"/>
      <c r="M25" s="40"/>
      <c r="N25" s="40"/>
      <c r="O25" s="40"/>
      <c r="P25" s="16"/>
      <c r="Q25" s="22"/>
    </row>
    <row r="26" spans="1:19" ht="56.25" customHeight="1" x14ac:dyDescent="0.25">
      <c r="A26" s="15">
        <v>5</v>
      </c>
      <c r="B26" s="38" t="s">
        <v>108</v>
      </c>
      <c r="C26" s="358" t="s">
        <v>283</v>
      </c>
      <c r="D26" s="333" t="s">
        <v>171</v>
      </c>
      <c r="E26" s="347">
        <f>0.1*0.1*(1.6*46+1*8+2.5*6+1.9*2)</f>
        <v>1.0040000000000002</v>
      </c>
      <c r="F26" s="115"/>
      <c r="G26" s="40"/>
      <c r="H26" s="40"/>
      <c r="I26" s="40"/>
      <c r="J26" s="40"/>
      <c r="K26" s="16"/>
      <c r="L26" s="39"/>
      <c r="M26" s="40"/>
      <c r="N26" s="40"/>
      <c r="O26" s="40"/>
      <c r="P26" s="16"/>
      <c r="Q26" s="22"/>
    </row>
    <row r="27" spans="1:19" ht="27" customHeight="1" x14ac:dyDescent="0.25">
      <c r="A27" s="15">
        <v>6</v>
      </c>
      <c r="B27" s="38" t="s">
        <v>108</v>
      </c>
      <c r="C27" s="358" t="s">
        <v>284</v>
      </c>
      <c r="D27" s="333" t="s">
        <v>114</v>
      </c>
      <c r="E27" s="347">
        <v>246</v>
      </c>
      <c r="F27" s="115"/>
      <c r="G27" s="40"/>
      <c r="H27" s="40"/>
      <c r="I27" s="40"/>
      <c r="J27" s="40"/>
      <c r="K27" s="16"/>
      <c r="L27" s="39"/>
      <c r="M27" s="40"/>
      <c r="N27" s="40"/>
      <c r="O27" s="40"/>
      <c r="P27" s="16"/>
      <c r="Q27" s="22"/>
    </row>
    <row r="28" spans="1:19" ht="27" customHeight="1" x14ac:dyDescent="0.25">
      <c r="A28" s="15">
        <v>7</v>
      </c>
      <c r="B28" s="38" t="s">
        <v>108</v>
      </c>
      <c r="C28" s="358" t="s">
        <v>285</v>
      </c>
      <c r="D28" s="333" t="s">
        <v>114</v>
      </c>
      <c r="E28" s="347">
        <v>246</v>
      </c>
      <c r="F28" s="115"/>
      <c r="G28" s="40"/>
      <c r="H28" s="40"/>
      <c r="I28" s="40"/>
      <c r="J28" s="40"/>
      <c r="K28" s="16"/>
      <c r="L28" s="39"/>
      <c r="M28" s="40"/>
      <c r="N28" s="40"/>
      <c r="O28" s="40"/>
      <c r="P28" s="16"/>
      <c r="Q28" s="22"/>
    </row>
    <row r="29" spans="1:19" ht="27" customHeight="1" x14ac:dyDescent="0.25">
      <c r="A29" s="15">
        <v>8</v>
      </c>
      <c r="B29" s="38" t="s">
        <v>108</v>
      </c>
      <c r="C29" s="358" t="s">
        <v>286</v>
      </c>
      <c r="D29" s="333" t="s">
        <v>114</v>
      </c>
      <c r="E29" s="347">
        <v>330</v>
      </c>
      <c r="F29" s="115"/>
      <c r="G29" s="40"/>
      <c r="H29" s="40"/>
      <c r="I29" s="40"/>
      <c r="J29" s="40"/>
      <c r="K29" s="16"/>
      <c r="L29" s="39"/>
      <c r="M29" s="40"/>
      <c r="N29" s="40"/>
      <c r="O29" s="40"/>
      <c r="P29" s="16"/>
      <c r="Q29" s="22"/>
    </row>
    <row r="30" spans="1:19" ht="27" customHeight="1" x14ac:dyDescent="0.25">
      <c r="A30" s="15">
        <v>9</v>
      </c>
      <c r="B30" s="38"/>
      <c r="C30" s="348" t="s">
        <v>287</v>
      </c>
      <c r="D30" s="333" t="s">
        <v>112</v>
      </c>
      <c r="E30" s="347">
        <v>1</v>
      </c>
      <c r="F30" s="115"/>
      <c r="G30" s="40"/>
      <c r="H30" s="40"/>
      <c r="I30" s="40"/>
      <c r="J30" s="40"/>
      <c r="K30" s="16"/>
      <c r="L30" s="39"/>
      <c r="M30" s="40"/>
      <c r="N30" s="40"/>
      <c r="O30" s="40"/>
      <c r="P30" s="16"/>
      <c r="Q30" s="22"/>
    </row>
    <row r="31" spans="1:19" s="69" customFormat="1" ht="17.850000000000001" customHeight="1" x14ac:dyDescent="0.25">
      <c r="A31" s="15">
        <v>10</v>
      </c>
      <c r="B31" s="60" t="s">
        <v>108</v>
      </c>
      <c r="C31" s="332" t="s">
        <v>288</v>
      </c>
      <c r="D31" s="333" t="s">
        <v>110</v>
      </c>
      <c r="E31" s="334">
        <f>E22*(1.8*1.6*2)+E23*(1.8*2+1*2)+E24*(2.5*2+0.9*2)+E25*(1.8*2+1.9*2)</f>
        <v>182.68000000000004</v>
      </c>
      <c r="F31" s="63"/>
      <c r="G31" s="64"/>
      <c r="H31" s="65"/>
      <c r="I31" s="64"/>
      <c r="J31" s="64"/>
      <c r="K31" s="66"/>
      <c r="L31" s="67"/>
      <c r="M31" s="64"/>
      <c r="N31" s="64"/>
      <c r="O31" s="64"/>
      <c r="P31" s="68"/>
      <c r="Q31" s="137"/>
      <c r="S31" s="94"/>
    </row>
    <row r="32" spans="1:19" s="69" customFormat="1" ht="17.850000000000001" customHeight="1" x14ac:dyDescent="0.25">
      <c r="A32" s="15">
        <v>11</v>
      </c>
      <c r="B32" s="60" t="s">
        <v>108</v>
      </c>
      <c r="C32" s="332" t="s">
        <v>289</v>
      </c>
      <c r="D32" s="333" t="s">
        <v>110</v>
      </c>
      <c r="E32" s="334">
        <f>E31</f>
        <v>182.68000000000004</v>
      </c>
      <c r="F32" s="63"/>
      <c r="G32" s="64"/>
      <c r="H32" s="65"/>
      <c r="I32" s="64"/>
      <c r="J32" s="64"/>
      <c r="K32" s="66"/>
      <c r="L32" s="67"/>
      <c r="M32" s="64"/>
      <c r="N32" s="64"/>
      <c r="O32" s="64"/>
      <c r="P32" s="68"/>
      <c r="S32" s="94"/>
    </row>
    <row r="33" spans="1:19" s="69" customFormat="1" ht="17.850000000000001" customHeight="1" x14ac:dyDescent="0.25">
      <c r="A33" s="15">
        <v>12</v>
      </c>
      <c r="B33" s="60" t="s">
        <v>108</v>
      </c>
      <c r="C33" s="332" t="s">
        <v>290</v>
      </c>
      <c r="D33" s="333" t="s">
        <v>110</v>
      </c>
      <c r="E33" s="334">
        <f>E31</f>
        <v>182.68000000000004</v>
      </c>
      <c r="F33" s="63"/>
      <c r="G33" s="64"/>
      <c r="H33" s="65"/>
      <c r="I33" s="64"/>
      <c r="J33" s="64"/>
      <c r="K33" s="66"/>
      <c r="L33" s="67"/>
      <c r="M33" s="64"/>
      <c r="N33" s="64"/>
      <c r="O33" s="64"/>
      <c r="P33" s="68"/>
      <c r="S33" s="94"/>
    </row>
    <row r="34" spans="1:19" s="69" customFormat="1" ht="31.9" customHeight="1" x14ac:dyDescent="0.25">
      <c r="A34" s="15">
        <v>13</v>
      </c>
      <c r="B34" s="60" t="s">
        <v>108</v>
      </c>
      <c r="C34" s="332" t="s">
        <v>291</v>
      </c>
      <c r="D34" s="333" t="s">
        <v>110</v>
      </c>
      <c r="E34" s="334">
        <f>E22*1.6+E23*1+E24*2.6+E25*1.8</f>
        <v>50.400000000000006</v>
      </c>
      <c r="F34" s="63"/>
      <c r="G34" s="64"/>
      <c r="H34" s="65"/>
      <c r="I34" s="64"/>
      <c r="J34" s="64"/>
      <c r="K34" s="66"/>
      <c r="L34" s="67"/>
      <c r="M34" s="64"/>
      <c r="N34" s="64"/>
      <c r="O34" s="64"/>
      <c r="P34" s="68"/>
      <c r="S34" s="94"/>
    </row>
    <row r="35" spans="1:19" s="69" customFormat="1" ht="27.75" customHeight="1" x14ac:dyDescent="0.25">
      <c r="A35" s="15">
        <v>14</v>
      </c>
      <c r="B35" s="60" t="s">
        <v>108</v>
      </c>
      <c r="C35" s="332" t="s">
        <v>292</v>
      </c>
      <c r="D35" s="333" t="s">
        <v>110</v>
      </c>
      <c r="E35" s="334">
        <f>E34</f>
        <v>50.400000000000006</v>
      </c>
      <c r="F35" s="63"/>
      <c r="G35" s="64"/>
      <c r="H35" s="65"/>
      <c r="I35" s="64"/>
      <c r="J35" s="64"/>
      <c r="K35" s="66"/>
      <c r="L35" s="67"/>
      <c r="M35" s="64"/>
      <c r="N35" s="64"/>
      <c r="O35" s="64"/>
      <c r="P35" s="68"/>
      <c r="S35" s="94"/>
    </row>
    <row r="36" spans="1:19" s="69" customFormat="1" ht="17.850000000000001" customHeight="1" x14ac:dyDescent="0.25">
      <c r="A36" s="15">
        <v>15</v>
      </c>
      <c r="B36" s="60"/>
      <c r="C36" s="348" t="s">
        <v>194</v>
      </c>
      <c r="D36" s="333" t="s">
        <v>114</v>
      </c>
      <c r="E36" s="334">
        <f>SUM(E22:E25)</f>
        <v>31</v>
      </c>
      <c r="F36" s="63"/>
      <c r="G36" s="64"/>
      <c r="H36" s="65"/>
      <c r="I36" s="64"/>
      <c r="J36" s="64"/>
      <c r="K36" s="66"/>
      <c r="L36" s="67"/>
      <c r="M36" s="64"/>
      <c r="N36" s="64"/>
      <c r="O36" s="64"/>
      <c r="P36" s="68"/>
      <c r="S36" s="94"/>
    </row>
    <row r="37" spans="1:19" s="69" customFormat="1" ht="17.850000000000001" customHeight="1" x14ac:dyDescent="0.25">
      <c r="A37" s="15">
        <v>16</v>
      </c>
      <c r="B37" s="60" t="s">
        <v>108</v>
      </c>
      <c r="C37" s="332" t="s">
        <v>293</v>
      </c>
      <c r="D37" s="333" t="s">
        <v>110</v>
      </c>
      <c r="E37" s="334">
        <f>E31-E34</f>
        <v>132.28000000000003</v>
      </c>
      <c r="F37" s="63"/>
      <c r="G37" s="64"/>
      <c r="H37" s="65"/>
      <c r="I37" s="64"/>
      <c r="J37" s="64"/>
      <c r="K37" s="66"/>
      <c r="L37" s="67"/>
      <c r="M37" s="64"/>
      <c r="N37" s="64"/>
      <c r="O37" s="64"/>
      <c r="P37" s="68"/>
      <c r="S37" s="94"/>
    </row>
    <row r="38" spans="1:19" s="69" customFormat="1" ht="17.850000000000001" customHeight="1" x14ac:dyDescent="0.25">
      <c r="A38" s="15">
        <v>17</v>
      </c>
      <c r="B38" s="60" t="s">
        <v>108</v>
      </c>
      <c r="C38" s="332" t="s">
        <v>294</v>
      </c>
      <c r="D38" s="333" t="s">
        <v>110</v>
      </c>
      <c r="E38" s="334">
        <f>E37</f>
        <v>132.28000000000003</v>
      </c>
      <c r="F38" s="63"/>
      <c r="G38" s="64"/>
      <c r="H38" s="65"/>
      <c r="I38" s="64"/>
      <c r="J38" s="64"/>
      <c r="K38" s="66"/>
      <c r="L38" s="67"/>
      <c r="M38" s="64"/>
      <c r="N38" s="64"/>
      <c r="O38" s="64"/>
      <c r="P38" s="68"/>
      <c r="S38" s="94"/>
    </row>
    <row r="39" spans="1:19" ht="17.100000000000001" customHeight="1" x14ac:dyDescent="0.25">
      <c r="A39" s="124"/>
      <c r="B39" s="125"/>
      <c r="C39" s="359" t="s">
        <v>295</v>
      </c>
      <c r="D39" s="333"/>
      <c r="E39" s="360"/>
      <c r="F39" s="138"/>
      <c r="G39" s="40"/>
      <c r="H39" s="40"/>
      <c r="I39" s="139"/>
      <c r="J39" s="40"/>
      <c r="K39" s="140"/>
      <c r="L39" s="141"/>
      <c r="M39" s="139"/>
      <c r="N39" s="139"/>
      <c r="O39" s="139"/>
      <c r="P39" s="140"/>
    </row>
    <row r="40" spans="1:19" ht="63.6" customHeight="1" x14ac:dyDescent="0.25">
      <c r="A40" s="15">
        <v>1</v>
      </c>
      <c r="B40" s="38" t="s">
        <v>108</v>
      </c>
      <c r="C40" s="358" t="s">
        <v>296</v>
      </c>
      <c r="D40" s="333" t="s">
        <v>114</v>
      </c>
      <c r="E40" s="347">
        <v>17</v>
      </c>
      <c r="F40" s="115"/>
      <c r="G40" s="40"/>
      <c r="H40" s="40"/>
      <c r="I40" s="40"/>
      <c r="J40" s="40"/>
      <c r="K40" s="16"/>
      <c r="L40" s="39"/>
      <c r="M40" s="40"/>
      <c r="N40" s="40"/>
      <c r="O40" s="40"/>
      <c r="P40" s="16"/>
    </row>
    <row r="41" spans="1:19" ht="51.6" customHeight="1" x14ac:dyDescent="0.25">
      <c r="A41" s="15">
        <v>2</v>
      </c>
      <c r="B41" s="38" t="s">
        <v>108</v>
      </c>
      <c r="C41" s="358" t="s">
        <v>297</v>
      </c>
      <c r="D41" s="333" t="s">
        <v>114</v>
      </c>
      <c r="E41" s="347">
        <v>3</v>
      </c>
      <c r="F41" s="115"/>
      <c r="G41" s="40"/>
      <c r="H41" s="40"/>
      <c r="I41" s="40"/>
      <c r="J41" s="40"/>
      <c r="K41" s="16"/>
      <c r="L41" s="39"/>
      <c r="M41" s="40"/>
      <c r="N41" s="40"/>
      <c r="O41" s="40"/>
      <c r="P41" s="16"/>
    </row>
    <row r="42" spans="1:19" ht="76.900000000000006" customHeight="1" x14ac:dyDescent="0.25">
      <c r="A42" s="15">
        <v>3</v>
      </c>
      <c r="B42" s="38" t="s">
        <v>108</v>
      </c>
      <c r="C42" s="358" t="s">
        <v>298</v>
      </c>
      <c r="D42" s="333" t="s">
        <v>114</v>
      </c>
      <c r="E42" s="347">
        <v>1</v>
      </c>
      <c r="F42" s="115"/>
      <c r="G42" s="40"/>
      <c r="H42" s="40"/>
      <c r="I42" s="40"/>
      <c r="J42" s="40"/>
      <c r="K42" s="16"/>
      <c r="L42" s="39"/>
      <c r="M42" s="40"/>
      <c r="N42" s="40"/>
      <c r="O42" s="40"/>
      <c r="P42" s="16"/>
      <c r="Q42" s="22"/>
    </row>
    <row r="43" spans="1:19" ht="30.6" customHeight="1" x14ac:dyDescent="0.25">
      <c r="A43" s="15">
        <v>4</v>
      </c>
      <c r="B43" s="38" t="s">
        <v>108</v>
      </c>
      <c r="C43" s="358" t="s">
        <v>299</v>
      </c>
      <c r="D43" s="333" t="s">
        <v>112</v>
      </c>
      <c r="E43" s="347">
        <f>E42</f>
        <v>1</v>
      </c>
      <c r="F43" s="115"/>
      <c r="G43" s="40"/>
      <c r="H43" s="40"/>
      <c r="I43" s="40"/>
      <c r="J43" s="40"/>
      <c r="K43" s="16"/>
      <c r="L43" s="39"/>
      <c r="M43" s="40"/>
      <c r="N43" s="40"/>
      <c r="O43" s="40"/>
      <c r="P43" s="16"/>
      <c r="Q43" s="22"/>
    </row>
    <row r="44" spans="1:19" s="69" customFormat="1" ht="18.75" customHeight="1" x14ac:dyDescent="0.25">
      <c r="A44" s="59">
        <v>5</v>
      </c>
      <c r="B44" s="60"/>
      <c r="C44" s="348" t="s">
        <v>194</v>
      </c>
      <c r="D44" s="333" t="s">
        <v>114</v>
      </c>
      <c r="E44" s="334">
        <f>SUM(E40:E42)</f>
        <v>21</v>
      </c>
      <c r="F44" s="63"/>
      <c r="G44" s="64"/>
      <c r="H44" s="65"/>
      <c r="I44" s="64"/>
      <c r="J44" s="64"/>
      <c r="K44" s="66"/>
      <c r="L44" s="67"/>
      <c r="M44" s="64"/>
      <c r="N44" s="64"/>
      <c r="O44" s="64"/>
      <c r="P44" s="68"/>
      <c r="Q44" s="137"/>
      <c r="S44" s="94"/>
    </row>
    <row r="45" spans="1:19" s="69" customFormat="1" ht="25.5" x14ac:dyDescent="0.25">
      <c r="A45" s="59">
        <v>6</v>
      </c>
      <c r="B45" s="60" t="s">
        <v>108</v>
      </c>
      <c r="C45" s="358" t="s">
        <v>300</v>
      </c>
      <c r="D45" s="333" t="s">
        <v>110</v>
      </c>
      <c r="E45" s="334">
        <f>E40*5.2+E41*5.1+E42*5.2</f>
        <v>108.9</v>
      </c>
      <c r="F45" s="63"/>
      <c r="G45" s="64"/>
      <c r="H45" s="65"/>
      <c r="I45" s="64"/>
      <c r="J45" s="64"/>
      <c r="K45" s="66"/>
      <c r="L45" s="67"/>
      <c r="M45" s="64"/>
      <c r="N45" s="64"/>
      <c r="O45" s="64"/>
      <c r="P45" s="68"/>
      <c r="S45" s="94"/>
    </row>
    <row r="46" spans="1:19" s="69" customFormat="1" ht="12.75" x14ac:dyDescent="0.25">
      <c r="A46" s="59"/>
      <c r="B46" s="60"/>
      <c r="C46" s="359" t="s">
        <v>301</v>
      </c>
      <c r="D46" s="333"/>
      <c r="E46" s="334"/>
      <c r="F46" s="63"/>
      <c r="G46" s="64"/>
      <c r="H46" s="65"/>
      <c r="I46" s="64"/>
      <c r="J46" s="64"/>
      <c r="K46" s="66"/>
      <c r="L46" s="67"/>
      <c r="M46" s="64"/>
      <c r="N46" s="64"/>
      <c r="O46" s="64"/>
      <c r="P46" s="68"/>
      <c r="S46" s="94"/>
    </row>
    <row r="47" spans="1:19" s="69" customFormat="1" ht="67.5" customHeight="1" x14ac:dyDescent="0.25">
      <c r="A47" s="15">
        <v>1</v>
      </c>
      <c r="B47" s="38" t="s">
        <v>108</v>
      </c>
      <c r="C47" s="358" t="s">
        <v>302</v>
      </c>
      <c r="D47" s="333" t="s">
        <v>114</v>
      </c>
      <c r="E47" s="347">
        <v>1</v>
      </c>
      <c r="F47" s="115"/>
      <c r="G47" s="40"/>
      <c r="H47" s="40"/>
      <c r="I47" s="40"/>
      <c r="J47" s="40"/>
      <c r="K47" s="16"/>
      <c r="L47" s="39"/>
      <c r="M47" s="40"/>
      <c r="N47" s="40"/>
      <c r="O47" s="40"/>
      <c r="P47" s="16"/>
      <c r="S47" s="94"/>
    </row>
    <row r="48" spans="1:19" s="69" customFormat="1" ht="67.5" customHeight="1" x14ac:dyDescent="0.25">
      <c r="A48" s="15">
        <v>2</v>
      </c>
      <c r="B48" s="38" t="s">
        <v>108</v>
      </c>
      <c r="C48" s="358" t="s">
        <v>303</v>
      </c>
      <c r="D48" s="333" t="s">
        <v>114</v>
      </c>
      <c r="E48" s="347">
        <v>1</v>
      </c>
      <c r="F48" s="115"/>
      <c r="G48" s="40"/>
      <c r="H48" s="40"/>
      <c r="I48" s="40"/>
      <c r="J48" s="40"/>
      <c r="K48" s="16"/>
      <c r="L48" s="39"/>
      <c r="M48" s="40"/>
      <c r="N48" s="40"/>
      <c r="O48" s="40"/>
      <c r="P48" s="16"/>
      <c r="S48" s="94"/>
    </row>
    <row r="49" spans="1:19" s="69" customFormat="1" ht="67.5" customHeight="1" x14ac:dyDescent="0.25">
      <c r="A49" s="15">
        <v>3</v>
      </c>
      <c r="B49" s="38" t="s">
        <v>108</v>
      </c>
      <c r="C49" s="358" t="s">
        <v>304</v>
      </c>
      <c r="D49" s="333" t="s">
        <v>114</v>
      </c>
      <c r="E49" s="347">
        <v>1</v>
      </c>
      <c r="F49" s="115"/>
      <c r="G49" s="40"/>
      <c r="H49" s="40"/>
      <c r="I49" s="40"/>
      <c r="J49" s="40"/>
      <c r="K49" s="16"/>
      <c r="L49" s="39"/>
      <c r="M49" s="40"/>
      <c r="N49" s="40"/>
      <c r="O49" s="40"/>
      <c r="P49" s="16"/>
      <c r="S49" s="94"/>
    </row>
    <row r="50" spans="1:19" s="69" customFormat="1" ht="14.85" customHeight="1" x14ac:dyDescent="0.25">
      <c r="A50" s="15">
        <v>4</v>
      </c>
      <c r="B50" s="60"/>
      <c r="C50" s="348" t="s">
        <v>194</v>
      </c>
      <c r="D50" s="333" t="s">
        <v>114</v>
      </c>
      <c r="E50" s="334">
        <v>3</v>
      </c>
      <c r="F50" s="63"/>
      <c r="G50" s="64"/>
      <c r="H50" s="65"/>
      <c r="I50" s="64"/>
      <c r="J50" s="64"/>
      <c r="K50" s="66"/>
      <c r="L50" s="67"/>
      <c r="M50" s="64"/>
      <c r="N50" s="64"/>
      <c r="O50" s="64"/>
      <c r="P50" s="68"/>
      <c r="S50" s="94"/>
    </row>
    <row r="51" spans="1:19" s="69" customFormat="1" ht="27.6" customHeight="1" x14ac:dyDescent="0.25">
      <c r="A51" s="59">
        <v>5</v>
      </c>
      <c r="B51" s="60" t="s">
        <v>108</v>
      </c>
      <c r="C51" s="358" t="s">
        <v>305</v>
      </c>
      <c r="D51" s="333" t="s">
        <v>110</v>
      </c>
      <c r="E51" s="334">
        <f>E47*(2.72*2+2.32)+E48*9.2+E49*7.5</f>
        <v>24.46</v>
      </c>
      <c r="F51" s="63"/>
      <c r="G51" s="64"/>
      <c r="H51" s="65"/>
      <c r="I51" s="64"/>
      <c r="J51" s="64"/>
      <c r="K51" s="66"/>
      <c r="L51" s="67"/>
      <c r="M51" s="64"/>
      <c r="N51" s="64"/>
      <c r="O51" s="64"/>
      <c r="P51" s="68"/>
      <c r="S51" s="94"/>
    </row>
    <row r="52" spans="1:19" ht="15.75" customHeight="1" x14ac:dyDescent="0.25">
      <c r="A52" s="82"/>
      <c r="B52" s="83"/>
      <c r="C52" s="83"/>
      <c r="D52" s="83"/>
      <c r="E52" s="84"/>
      <c r="F52" s="82"/>
      <c r="G52" s="83"/>
      <c r="H52" s="83"/>
      <c r="I52" s="83"/>
      <c r="J52" s="83"/>
      <c r="K52" s="85"/>
      <c r="L52" s="86"/>
      <c r="M52" s="83"/>
      <c r="N52" s="83"/>
      <c r="O52" s="83"/>
      <c r="P52" s="85"/>
    </row>
    <row r="53" spans="1:19" ht="15.75" customHeight="1" x14ac:dyDescent="0.25">
      <c r="A53" s="87"/>
      <c r="B53" s="88"/>
      <c r="C53" s="419" t="s">
        <v>136</v>
      </c>
      <c r="D53" s="419"/>
      <c r="E53" s="419"/>
      <c r="F53" s="419"/>
      <c r="G53" s="419"/>
      <c r="H53" s="419"/>
      <c r="I53" s="419"/>
      <c r="J53" s="419"/>
      <c r="K53" s="419"/>
      <c r="L53" s="89">
        <f>SUM(L22:L52)</f>
        <v>0</v>
      </c>
      <c r="M53" s="90">
        <f>SUM(M22:M52)</f>
        <v>0</v>
      </c>
      <c r="N53" s="90">
        <f>SUM(N22:N52)</f>
        <v>0</v>
      </c>
      <c r="O53" s="90">
        <f>SUM(O22:O52)</f>
        <v>0</v>
      </c>
      <c r="P53" s="21">
        <f>SUM(P22:P52)</f>
        <v>0</v>
      </c>
    </row>
    <row r="54" spans="1:19" ht="5.25" customHeight="1" x14ac:dyDescent="0.25"/>
    <row r="55" spans="1:19" x14ac:dyDescent="0.25">
      <c r="B55" s="1" t="s">
        <v>26</v>
      </c>
      <c r="C55" s="6">
        <f>KOPTAME!C58</f>
        <v>0</v>
      </c>
      <c r="E55" s="34">
        <f>'KOPS 1'!F42</f>
        <v>0</v>
      </c>
    </row>
    <row r="56" spans="1:19" x14ac:dyDescent="0.25">
      <c r="C56" s="32" t="s">
        <v>86</v>
      </c>
      <c r="E56" s="2"/>
    </row>
    <row r="57" spans="1:19" ht="4.5" customHeight="1" x14ac:dyDescent="0.25">
      <c r="E57" s="2"/>
    </row>
    <row r="58" spans="1:19" x14ac:dyDescent="0.25">
      <c r="B58" s="5"/>
      <c r="C58" s="33"/>
      <c r="D58" s="2"/>
      <c r="E58" s="2"/>
      <c r="F58" s="42"/>
    </row>
    <row r="59" spans="1:19" ht="5.25" customHeight="1" x14ac:dyDescent="0.25">
      <c r="E59" s="2"/>
    </row>
    <row r="60" spans="1:19" x14ac:dyDescent="0.25">
      <c r="B60" s="1" t="s">
        <v>28</v>
      </c>
      <c r="C60" s="6">
        <f>KOPTAME!C63</f>
        <v>0</v>
      </c>
      <c r="E60" s="34">
        <f>E55</f>
        <v>0</v>
      </c>
    </row>
    <row r="61" spans="1:19" x14ac:dyDescent="0.25">
      <c r="C61" s="32" t="s">
        <v>86</v>
      </c>
      <c r="E61" s="2"/>
    </row>
    <row r="62" spans="1:19" ht="4.5" customHeight="1" x14ac:dyDescent="0.25"/>
    <row r="63" spans="1:19" x14ac:dyDescent="0.25">
      <c r="C63" s="1">
        <f>KOPTAME!C68</f>
        <v>0</v>
      </c>
    </row>
    <row r="65" spans="3:3" x14ac:dyDescent="0.25">
      <c r="C65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53:K53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MJ139"/>
  <sheetViews>
    <sheetView view="pageBreakPreview" topLeftCell="A84" zoomScaleNormal="100" workbookViewId="0">
      <selection activeCell="H118" sqref="H118"/>
    </sheetView>
  </sheetViews>
  <sheetFormatPr defaultColWidth="9.140625" defaultRowHeight="15" x14ac:dyDescent="0.25"/>
  <cols>
    <col min="1" max="1" width="8" style="1" customWidth="1"/>
    <col min="2" max="2" width="9.140625" style="1"/>
    <col min="3" max="3" width="32.85546875" style="1" customWidth="1"/>
    <col min="4" max="4" width="7.28515625" style="1" customWidth="1"/>
    <col min="5" max="5" width="7.7109375" style="1" customWidth="1"/>
    <col min="6" max="11" width="7.85546875" style="1" customWidth="1"/>
    <col min="12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x14ac:dyDescent="0.25">
      <c r="E3" s="426" t="s">
        <v>88</v>
      </c>
      <c r="F3" s="426"/>
      <c r="G3" s="426"/>
      <c r="H3" s="426"/>
      <c r="I3" s="41" t="s">
        <v>645</v>
      </c>
    </row>
    <row r="4" spans="1:16" x14ac:dyDescent="0.25">
      <c r="D4" s="415" t="s">
        <v>306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>
        <f>P127</f>
        <v>0</v>
      </c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8" spans="1:235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235" ht="75.400000000000006" customHeight="1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235" x14ac:dyDescent="0.25">
      <c r="A20" s="95">
        <v>1</v>
      </c>
      <c r="B20" s="96">
        <v>2</v>
      </c>
      <c r="C20" s="96">
        <v>3</v>
      </c>
      <c r="D20" s="96">
        <v>4</v>
      </c>
      <c r="E20" s="97">
        <v>5</v>
      </c>
      <c r="F20" s="95">
        <v>6</v>
      </c>
      <c r="G20" s="96">
        <v>7</v>
      </c>
      <c r="H20" s="96">
        <v>8</v>
      </c>
      <c r="I20" s="96">
        <v>9</v>
      </c>
      <c r="J20" s="96">
        <v>10</v>
      </c>
      <c r="K20" s="98">
        <v>11</v>
      </c>
      <c r="L20" s="99">
        <v>12</v>
      </c>
      <c r="M20" s="96">
        <v>13</v>
      </c>
      <c r="N20" s="96">
        <v>14</v>
      </c>
      <c r="O20" s="96">
        <v>15</v>
      </c>
      <c r="P20" s="98">
        <v>16</v>
      </c>
    </row>
    <row r="21" spans="1:235" s="250" customFormat="1" ht="19.350000000000001" customHeight="1" x14ac:dyDescent="0.25">
      <c r="A21" s="246"/>
      <c r="B21" s="247"/>
      <c r="C21" s="335" t="s">
        <v>604</v>
      </c>
      <c r="D21" s="361"/>
      <c r="E21" s="362"/>
      <c r="F21" s="248"/>
      <c r="G21" s="103"/>
      <c r="H21" s="249"/>
      <c r="I21" s="103"/>
      <c r="J21" s="103"/>
      <c r="K21" s="142"/>
      <c r="L21" s="143"/>
      <c r="M21" s="103"/>
      <c r="N21" s="103"/>
      <c r="O21" s="103"/>
      <c r="P21" s="144"/>
    </row>
    <row r="22" spans="1:235" s="244" customFormat="1" ht="25.9" customHeight="1" x14ac:dyDescent="0.25">
      <c r="A22" s="241">
        <v>1</v>
      </c>
      <c r="B22" s="242" t="s">
        <v>108</v>
      </c>
      <c r="C22" s="363" t="s">
        <v>307</v>
      </c>
      <c r="D22" s="364" t="s">
        <v>124</v>
      </c>
      <c r="E22" s="365">
        <f>120.02*0+115.8</f>
        <v>115.8</v>
      </c>
      <c r="F22" s="63"/>
      <c r="G22" s="64"/>
      <c r="H22" s="65"/>
      <c r="I22" s="64"/>
      <c r="J22" s="64"/>
      <c r="K22" s="66"/>
      <c r="L22" s="67"/>
      <c r="M22" s="64"/>
      <c r="N22" s="64"/>
      <c r="O22" s="64"/>
      <c r="P22" s="68"/>
      <c r="Q22" s="69"/>
      <c r="R22" s="137"/>
      <c r="S22" s="137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243"/>
      <c r="BF22" s="243"/>
      <c r="BG22" s="243"/>
      <c r="BH22" s="243"/>
      <c r="BI22" s="243"/>
      <c r="BJ22" s="243"/>
      <c r="BK22" s="243"/>
      <c r="BL22" s="243"/>
      <c r="BM22" s="243"/>
      <c r="BN22" s="243"/>
      <c r="BO22" s="243"/>
      <c r="BP22" s="243"/>
      <c r="BQ22" s="243"/>
      <c r="BR22" s="243"/>
      <c r="BS22" s="243"/>
      <c r="BT22" s="243"/>
      <c r="BU22" s="243"/>
      <c r="BV22" s="243"/>
      <c r="BW22" s="243"/>
      <c r="BX22" s="243"/>
      <c r="BY22" s="243"/>
      <c r="BZ22" s="243"/>
      <c r="CA22" s="243"/>
      <c r="CB22" s="243"/>
      <c r="CC22" s="243"/>
      <c r="CD22" s="243"/>
      <c r="CE22" s="243"/>
      <c r="CF22" s="243"/>
      <c r="CG22" s="243"/>
      <c r="CH22" s="243"/>
      <c r="CI22" s="243"/>
      <c r="CJ22" s="243"/>
      <c r="CK22" s="243"/>
      <c r="CL22" s="243"/>
      <c r="CM22" s="243"/>
      <c r="CN22" s="243"/>
      <c r="CO22" s="243"/>
      <c r="CP22" s="243"/>
      <c r="CQ22" s="243"/>
      <c r="CR22" s="243"/>
      <c r="CS22" s="243"/>
      <c r="CT22" s="243"/>
      <c r="CU22" s="243"/>
      <c r="CV22" s="243"/>
      <c r="CW22" s="243"/>
      <c r="CX22" s="243"/>
      <c r="CY22" s="243"/>
      <c r="CZ22" s="243"/>
      <c r="DA22" s="243"/>
      <c r="DB22" s="243"/>
      <c r="DC22" s="243"/>
      <c r="DD22" s="243"/>
      <c r="DE22" s="243"/>
      <c r="DF22" s="243"/>
      <c r="DG22" s="243"/>
      <c r="DH22" s="243"/>
      <c r="DI22" s="243"/>
      <c r="DJ22" s="243"/>
      <c r="DK22" s="243"/>
      <c r="DL22" s="243"/>
      <c r="DM22" s="243"/>
      <c r="DN22" s="243"/>
      <c r="DO22" s="243"/>
      <c r="DP22" s="243"/>
      <c r="DQ22" s="243"/>
      <c r="DR22" s="243"/>
      <c r="DS22" s="243"/>
      <c r="DT22" s="243"/>
      <c r="DU22" s="243"/>
      <c r="DV22" s="243"/>
      <c r="DW22" s="243"/>
      <c r="DX22" s="243"/>
      <c r="DY22" s="243"/>
      <c r="DZ22" s="243"/>
      <c r="EA22" s="243"/>
      <c r="EB22" s="243"/>
      <c r="EC22" s="243"/>
      <c r="ED22" s="243"/>
      <c r="EE22" s="243"/>
      <c r="EF22" s="243"/>
      <c r="EG22" s="243"/>
      <c r="EH22" s="243"/>
      <c r="EI22" s="243"/>
      <c r="EJ22" s="243"/>
      <c r="EK22" s="243"/>
      <c r="EL22" s="243"/>
      <c r="EM22" s="243"/>
      <c r="EN22" s="243"/>
      <c r="EO22" s="243"/>
      <c r="EP22" s="243"/>
      <c r="EQ22" s="243"/>
      <c r="ER22" s="243"/>
      <c r="ES22" s="243"/>
      <c r="ET22" s="243"/>
      <c r="EU22" s="243"/>
      <c r="EV22" s="243"/>
      <c r="EW22" s="243"/>
      <c r="EX22" s="243"/>
      <c r="EY22" s="243"/>
      <c r="EZ22" s="243"/>
      <c r="FA22" s="243"/>
      <c r="FB22" s="243"/>
      <c r="FC22" s="243"/>
      <c r="FD22" s="243"/>
      <c r="FE22" s="243"/>
      <c r="FF22" s="243"/>
      <c r="FG22" s="243"/>
      <c r="FH22" s="243"/>
      <c r="FI22" s="243"/>
      <c r="FJ22" s="243"/>
      <c r="FK22" s="243"/>
      <c r="FL22" s="243"/>
      <c r="FM22" s="243"/>
      <c r="FN22" s="243"/>
      <c r="FO22" s="243"/>
      <c r="FP22" s="243"/>
      <c r="FQ22" s="243"/>
      <c r="FR22" s="243"/>
      <c r="FS22" s="243"/>
      <c r="FT22" s="243"/>
      <c r="FU22" s="243"/>
      <c r="FV22" s="243"/>
      <c r="FW22" s="243"/>
      <c r="FX22" s="243"/>
      <c r="FY22" s="243"/>
      <c r="FZ22" s="243"/>
      <c r="GA22" s="243"/>
      <c r="GB22" s="243"/>
      <c r="GC22" s="243"/>
      <c r="GD22" s="243"/>
      <c r="GE22" s="243"/>
      <c r="GF22" s="243"/>
      <c r="GG22" s="243"/>
      <c r="GH22" s="243"/>
      <c r="GI22" s="243"/>
      <c r="GJ22" s="243"/>
      <c r="GK22" s="243"/>
      <c r="GL22" s="243"/>
      <c r="GM22" s="243"/>
      <c r="GN22" s="243"/>
      <c r="GO22" s="243"/>
      <c r="GP22" s="243"/>
      <c r="GQ22" s="243"/>
      <c r="GR22" s="243"/>
      <c r="GS22" s="243"/>
      <c r="GT22" s="243"/>
      <c r="GU22" s="243"/>
      <c r="GV22" s="243"/>
      <c r="GW22" s="243"/>
      <c r="GX22" s="243"/>
      <c r="GY22" s="243"/>
      <c r="GZ22" s="243"/>
      <c r="HA22" s="243"/>
      <c r="HB22" s="243"/>
      <c r="HC22" s="243"/>
      <c r="HD22" s="243"/>
      <c r="HE22" s="243"/>
      <c r="HF22" s="243"/>
      <c r="HG22" s="243"/>
      <c r="HH22" s="243"/>
      <c r="HI22" s="243"/>
      <c r="HJ22" s="243"/>
      <c r="HK22" s="243"/>
      <c r="HL22" s="243"/>
      <c r="HM22" s="243"/>
      <c r="HN22" s="243"/>
      <c r="HO22" s="243"/>
      <c r="HP22" s="243"/>
      <c r="HQ22" s="243"/>
      <c r="HR22" s="243"/>
      <c r="HS22" s="243"/>
      <c r="HT22" s="243"/>
      <c r="HU22" s="243"/>
      <c r="HV22" s="243"/>
      <c r="HW22" s="243"/>
      <c r="HX22" s="243"/>
      <c r="HY22" s="243"/>
      <c r="HZ22" s="243"/>
      <c r="IA22" s="243"/>
    </row>
    <row r="23" spans="1:235" s="244" customFormat="1" ht="14.25" customHeight="1" x14ac:dyDescent="0.25">
      <c r="A23" s="241">
        <v>2</v>
      </c>
      <c r="B23" s="242"/>
      <c r="C23" s="366" t="s">
        <v>176</v>
      </c>
      <c r="D23" s="364" t="s">
        <v>177</v>
      </c>
      <c r="E23" s="365">
        <f>E22*0.2*1.15</f>
        <v>26.633999999999997</v>
      </c>
      <c r="F23" s="63"/>
      <c r="G23" s="64"/>
      <c r="H23" s="65"/>
      <c r="I23" s="64"/>
      <c r="J23" s="64"/>
      <c r="K23" s="66"/>
      <c r="L23" s="67"/>
      <c r="M23" s="64"/>
      <c r="N23" s="64"/>
      <c r="O23" s="64"/>
      <c r="P23" s="68"/>
      <c r="Q23" s="69"/>
      <c r="R23" s="137"/>
      <c r="S23" s="69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3"/>
      <c r="AK23" s="243"/>
      <c r="AL23" s="243"/>
      <c r="AM23" s="243"/>
      <c r="AN23" s="243"/>
      <c r="AO23" s="243"/>
      <c r="AP23" s="243"/>
      <c r="AQ23" s="243"/>
      <c r="AR23" s="243"/>
      <c r="AS23" s="243"/>
      <c r="AT23" s="243"/>
      <c r="AU23" s="243"/>
      <c r="AV23" s="243"/>
      <c r="AW23" s="243"/>
      <c r="AX23" s="243"/>
      <c r="AY23" s="243"/>
      <c r="AZ23" s="243"/>
      <c r="BA23" s="243"/>
      <c r="BB23" s="243"/>
      <c r="BC23" s="243"/>
      <c r="BD23" s="243"/>
      <c r="BE23" s="243"/>
      <c r="BF23" s="243"/>
      <c r="BG23" s="243"/>
      <c r="BH23" s="243"/>
      <c r="BI23" s="243"/>
      <c r="BJ23" s="243"/>
      <c r="BK23" s="243"/>
      <c r="BL23" s="243"/>
      <c r="BM23" s="243"/>
      <c r="BN23" s="243"/>
      <c r="BO23" s="243"/>
      <c r="BP23" s="243"/>
      <c r="BQ23" s="243"/>
      <c r="BR23" s="243"/>
      <c r="BS23" s="243"/>
      <c r="BT23" s="243"/>
      <c r="BU23" s="243"/>
      <c r="BV23" s="243"/>
      <c r="BW23" s="243"/>
      <c r="BX23" s="243"/>
      <c r="BY23" s="243"/>
      <c r="BZ23" s="243"/>
      <c r="CA23" s="243"/>
      <c r="CB23" s="243"/>
      <c r="CC23" s="243"/>
      <c r="CD23" s="243"/>
      <c r="CE23" s="243"/>
      <c r="CF23" s="243"/>
      <c r="CG23" s="243"/>
      <c r="CH23" s="243"/>
      <c r="CI23" s="243"/>
      <c r="CJ23" s="243"/>
      <c r="CK23" s="243"/>
      <c r="CL23" s="243"/>
      <c r="CM23" s="243"/>
      <c r="CN23" s="243"/>
      <c r="CO23" s="243"/>
      <c r="CP23" s="243"/>
      <c r="CQ23" s="243"/>
      <c r="CR23" s="243"/>
      <c r="CS23" s="243"/>
      <c r="CT23" s="243"/>
      <c r="CU23" s="243"/>
      <c r="CV23" s="243"/>
      <c r="CW23" s="243"/>
      <c r="CX23" s="243"/>
      <c r="CY23" s="243"/>
      <c r="CZ23" s="243"/>
      <c r="DA23" s="243"/>
      <c r="DB23" s="243"/>
      <c r="DC23" s="243"/>
      <c r="DD23" s="243"/>
      <c r="DE23" s="243"/>
      <c r="DF23" s="243"/>
      <c r="DG23" s="243"/>
      <c r="DH23" s="243"/>
      <c r="DI23" s="243"/>
      <c r="DJ23" s="243"/>
      <c r="DK23" s="243"/>
      <c r="DL23" s="243"/>
      <c r="DM23" s="243"/>
      <c r="DN23" s="243"/>
      <c r="DO23" s="243"/>
      <c r="DP23" s="243"/>
      <c r="DQ23" s="243"/>
      <c r="DR23" s="243"/>
      <c r="DS23" s="243"/>
      <c r="DT23" s="243"/>
      <c r="DU23" s="243"/>
      <c r="DV23" s="243"/>
      <c r="DW23" s="243"/>
      <c r="DX23" s="243"/>
      <c r="DY23" s="243"/>
      <c r="DZ23" s="243"/>
      <c r="EA23" s="243"/>
      <c r="EB23" s="243"/>
      <c r="EC23" s="243"/>
      <c r="ED23" s="243"/>
      <c r="EE23" s="243"/>
      <c r="EF23" s="243"/>
      <c r="EG23" s="243"/>
      <c r="EH23" s="243"/>
      <c r="EI23" s="243"/>
      <c r="EJ23" s="243"/>
      <c r="EK23" s="243"/>
      <c r="EL23" s="243"/>
      <c r="EM23" s="243"/>
      <c r="EN23" s="243"/>
      <c r="EO23" s="243"/>
      <c r="EP23" s="243"/>
      <c r="EQ23" s="243"/>
      <c r="ER23" s="243"/>
      <c r="ES23" s="243"/>
      <c r="ET23" s="243"/>
      <c r="EU23" s="243"/>
      <c r="EV23" s="243"/>
      <c r="EW23" s="243"/>
      <c r="EX23" s="243"/>
      <c r="EY23" s="243"/>
      <c r="EZ23" s="243"/>
      <c r="FA23" s="243"/>
      <c r="FB23" s="243"/>
      <c r="FC23" s="243"/>
      <c r="FD23" s="243"/>
      <c r="FE23" s="243"/>
      <c r="FF23" s="243"/>
      <c r="FG23" s="243"/>
      <c r="FH23" s="243"/>
      <c r="FI23" s="243"/>
      <c r="FJ23" s="243"/>
      <c r="FK23" s="243"/>
      <c r="FL23" s="243"/>
      <c r="FM23" s="243"/>
      <c r="FN23" s="243"/>
      <c r="FO23" s="243"/>
      <c r="FP23" s="243"/>
      <c r="FQ23" s="243"/>
      <c r="FR23" s="243"/>
      <c r="FS23" s="243"/>
      <c r="FT23" s="243"/>
      <c r="FU23" s="243"/>
      <c r="FV23" s="243"/>
      <c r="FW23" s="243"/>
      <c r="FX23" s="243"/>
      <c r="FY23" s="243"/>
      <c r="FZ23" s="243"/>
      <c r="GA23" s="243"/>
      <c r="GB23" s="243"/>
      <c r="GC23" s="243"/>
      <c r="GD23" s="243"/>
      <c r="GE23" s="243"/>
      <c r="GF23" s="243"/>
      <c r="GG23" s="243"/>
      <c r="GH23" s="243"/>
      <c r="GI23" s="243"/>
      <c r="GJ23" s="243"/>
      <c r="GK23" s="243"/>
      <c r="GL23" s="243"/>
      <c r="GM23" s="243"/>
      <c r="GN23" s="243"/>
      <c r="GO23" s="243"/>
      <c r="GP23" s="243"/>
      <c r="GQ23" s="243"/>
      <c r="GR23" s="243"/>
      <c r="GS23" s="243"/>
      <c r="GT23" s="243"/>
      <c r="GU23" s="243"/>
      <c r="GV23" s="243"/>
      <c r="GW23" s="243"/>
      <c r="GX23" s="243"/>
      <c r="GY23" s="243"/>
      <c r="GZ23" s="243"/>
      <c r="HA23" s="243"/>
      <c r="HB23" s="243"/>
      <c r="HC23" s="243"/>
      <c r="HD23" s="243"/>
      <c r="HE23" s="243"/>
      <c r="HF23" s="243"/>
      <c r="HG23" s="243"/>
      <c r="HH23" s="243"/>
      <c r="HI23" s="243"/>
      <c r="HJ23" s="243"/>
      <c r="HK23" s="243"/>
      <c r="HL23" s="243"/>
      <c r="HM23" s="243"/>
      <c r="HN23" s="243"/>
      <c r="HO23" s="243"/>
      <c r="HP23" s="243"/>
      <c r="HQ23" s="243"/>
      <c r="HR23" s="243"/>
      <c r="HS23" s="243"/>
      <c r="HT23" s="243"/>
      <c r="HU23" s="243"/>
      <c r="HV23" s="243"/>
      <c r="HW23" s="243"/>
      <c r="HX23" s="243"/>
      <c r="HY23" s="243"/>
      <c r="HZ23" s="243"/>
      <c r="IA23" s="243"/>
    </row>
    <row r="24" spans="1:235" s="244" customFormat="1" ht="14.25" customHeight="1" x14ac:dyDescent="0.25">
      <c r="A24" s="241">
        <v>3</v>
      </c>
      <c r="B24" s="242"/>
      <c r="C24" s="366" t="s">
        <v>308</v>
      </c>
      <c r="D24" s="364" t="s">
        <v>180</v>
      </c>
      <c r="E24" s="365">
        <f>E22*1.8*5*1.1</f>
        <v>1146.42</v>
      </c>
      <c r="F24" s="63"/>
      <c r="G24" s="64"/>
      <c r="H24" s="65"/>
      <c r="I24" s="64"/>
      <c r="J24" s="64"/>
      <c r="K24" s="66"/>
      <c r="L24" s="67"/>
      <c r="M24" s="64"/>
      <c r="N24" s="64"/>
      <c r="O24" s="64"/>
      <c r="P24" s="68"/>
      <c r="Q24" s="69"/>
      <c r="R24" s="137"/>
      <c r="S24" s="69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3"/>
      <c r="AN24" s="243"/>
      <c r="AO24" s="243"/>
      <c r="AP24" s="243"/>
      <c r="AQ24" s="243"/>
      <c r="AR24" s="243"/>
      <c r="AS24" s="243"/>
      <c r="AT24" s="243"/>
      <c r="AU24" s="243"/>
      <c r="AV24" s="243"/>
      <c r="AW24" s="243"/>
      <c r="AX24" s="243"/>
      <c r="AY24" s="243"/>
      <c r="AZ24" s="243"/>
      <c r="BA24" s="243"/>
      <c r="BB24" s="243"/>
      <c r="BC24" s="243"/>
      <c r="BD24" s="243"/>
      <c r="BE24" s="243"/>
      <c r="BF24" s="243"/>
      <c r="BG24" s="243"/>
      <c r="BH24" s="243"/>
      <c r="BI24" s="243"/>
      <c r="BJ24" s="243"/>
      <c r="BK24" s="243"/>
      <c r="BL24" s="243"/>
      <c r="BM24" s="243"/>
      <c r="BN24" s="243"/>
      <c r="BO24" s="243"/>
      <c r="BP24" s="243"/>
      <c r="BQ24" s="243"/>
      <c r="BR24" s="243"/>
      <c r="BS24" s="243"/>
      <c r="BT24" s="243"/>
      <c r="BU24" s="243"/>
      <c r="BV24" s="243"/>
      <c r="BW24" s="243"/>
      <c r="BX24" s="243"/>
      <c r="BY24" s="243"/>
      <c r="BZ24" s="243"/>
      <c r="CA24" s="243"/>
      <c r="CB24" s="243"/>
      <c r="CC24" s="243"/>
      <c r="CD24" s="243"/>
      <c r="CE24" s="243"/>
      <c r="CF24" s="243"/>
      <c r="CG24" s="243"/>
      <c r="CH24" s="243"/>
      <c r="CI24" s="243"/>
      <c r="CJ24" s="243"/>
      <c r="CK24" s="243"/>
      <c r="CL24" s="243"/>
      <c r="CM24" s="243"/>
      <c r="CN24" s="243"/>
      <c r="CO24" s="243"/>
      <c r="CP24" s="243"/>
      <c r="CQ24" s="243"/>
      <c r="CR24" s="243"/>
      <c r="CS24" s="243"/>
      <c r="CT24" s="243"/>
      <c r="CU24" s="243"/>
      <c r="CV24" s="243"/>
      <c r="CW24" s="243"/>
      <c r="CX24" s="243"/>
      <c r="CY24" s="243"/>
      <c r="CZ24" s="243"/>
      <c r="DA24" s="243"/>
      <c r="DB24" s="243"/>
      <c r="DC24" s="243"/>
      <c r="DD24" s="243"/>
      <c r="DE24" s="243"/>
      <c r="DF24" s="243"/>
      <c r="DG24" s="243"/>
      <c r="DH24" s="243"/>
      <c r="DI24" s="243"/>
      <c r="DJ24" s="243"/>
      <c r="DK24" s="243"/>
      <c r="DL24" s="243"/>
      <c r="DM24" s="243"/>
      <c r="DN24" s="243"/>
      <c r="DO24" s="243"/>
      <c r="DP24" s="243"/>
      <c r="DQ24" s="243"/>
      <c r="DR24" s="243"/>
      <c r="DS24" s="243"/>
      <c r="DT24" s="243"/>
      <c r="DU24" s="243"/>
      <c r="DV24" s="243"/>
      <c r="DW24" s="243"/>
      <c r="DX24" s="243"/>
      <c r="DY24" s="243"/>
      <c r="DZ24" s="243"/>
      <c r="EA24" s="243"/>
      <c r="EB24" s="243"/>
      <c r="EC24" s="243"/>
      <c r="ED24" s="243"/>
      <c r="EE24" s="243"/>
      <c r="EF24" s="243"/>
      <c r="EG24" s="243"/>
      <c r="EH24" s="243"/>
      <c r="EI24" s="243"/>
      <c r="EJ24" s="243"/>
      <c r="EK24" s="243"/>
      <c r="EL24" s="243"/>
      <c r="EM24" s="243"/>
      <c r="EN24" s="243"/>
      <c r="EO24" s="243"/>
      <c r="EP24" s="243"/>
      <c r="EQ24" s="243"/>
      <c r="ER24" s="243"/>
      <c r="ES24" s="243"/>
      <c r="ET24" s="243"/>
      <c r="EU24" s="243"/>
      <c r="EV24" s="243"/>
      <c r="EW24" s="243"/>
      <c r="EX24" s="243"/>
      <c r="EY24" s="243"/>
      <c r="EZ24" s="243"/>
      <c r="FA24" s="243"/>
      <c r="FB24" s="243"/>
      <c r="FC24" s="243"/>
      <c r="FD24" s="243"/>
      <c r="FE24" s="243"/>
      <c r="FF24" s="243"/>
      <c r="FG24" s="243"/>
      <c r="FH24" s="243"/>
      <c r="FI24" s="243"/>
      <c r="FJ24" s="243"/>
      <c r="FK24" s="243"/>
      <c r="FL24" s="243"/>
      <c r="FM24" s="243"/>
      <c r="FN24" s="243"/>
      <c r="FO24" s="243"/>
      <c r="FP24" s="243"/>
      <c r="FQ24" s="243"/>
      <c r="FR24" s="243"/>
      <c r="FS24" s="243"/>
      <c r="FT24" s="243"/>
      <c r="FU24" s="243"/>
      <c r="FV24" s="243"/>
      <c r="FW24" s="243"/>
      <c r="FX24" s="243"/>
      <c r="FY24" s="243"/>
      <c r="FZ24" s="243"/>
      <c r="GA24" s="243"/>
      <c r="GB24" s="243"/>
      <c r="GC24" s="243"/>
      <c r="GD24" s="243"/>
      <c r="GE24" s="243"/>
      <c r="GF24" s="243"/>
      <c r="GG24" s="243"/>
      <c r="GH24" s="243"/>
      <c r="GI24" s="243"/>
      <c r="GJ24" s="243"/>
      <c r="GK24" s="243"/>
      <c r="GL24" s="243"/>
      <c r="GM24" s="243"/>
      <c r="GN24" s="243"/>
      <c r="GO24" s="243"/>
      <c r="GP24" s="243"/>
      <c r="GQ24" s="243"/>
      <c r="GR24" s="243"/>
      <c r="GS24" s="243"/>
      <c r="GT24" s="243"/>
      <c r="GU24" s="243"/>
      <c r="GV24" s="243"/>
      <c r="GW24" s="243"/>
      <c r="GX24" s="243"/>
      <c r="GY24" s="243"/>
      <c r="GZ24" s="243"/>
      <c r="HA24" s="243"/>
      <c r="HB24" s="243"/>
      <c r="HC24" s="243"/>
      <c r="HD24" s="243"/>
      <c r="HE24" s="243"/>
      <c r="HF24" s="243"/>
      <c r="HG24" s="243"/>
      <c r="HH24" s="243"/>
      <c r="HI24" s="243"/>
      <c r="HJ24" s="243"/>
      <c r="HK24" s="243"/>
      <c r="HL24" s="243"/>
      <c r="HM24" s="243"/>
      <c r="HN24" s="243"/>
      <c r="HO24" s="243"/>
      <c r="HP24" s="243"/>
      <c r="HQ24" s="243"/>
      <c r="HR24" s="243"/>
      <c r="HS24" s="243"/>
      <c r="HT24" s="243"/>
      <c r="HU24" s="243"/>
      <c r="HV24" s="243"/>
      <c r="HW24" s="243"/>
      <c r="HX24" s="243"/>
      <c r="HY24" s="243"/>
      <c r="HZ24" s="243"/>
      <c r="IA24" s="243"/>
    </row>
    <row r="25" spans="1:235" s="244" customFormat="1" ht="14.25" customHeight="1" x14ac:dyDescent="0.25">
      <c r="A25" s="241">
        <v>4</v>
      </c>
      <c r="B25" s="242"/>
      <c r="C25" s="366" t="s">
        <v>194</v>
      </c>
      <c r="D25" s="364" t="s">
        <v>124</v>
      </c>
      <c r="E25" s="365">
        <f>E22</f>
        <v>115.8</v>
      </c>
      <c r="F25" s="63"/>
      <c r="G25" s="64"/>
      <c r="H25" s="65"/>
      <c r="I25" s="64"/>
      <c r="J25" s="64"/>
      <c r="K25" s="66"/>
      <c r="L25" s="67"/>
      <c r="M25" s="64"/>
      <c r="N25" s="64"/>
      <c r="O25" s="64"/>
      <c r="P25" s="68"/>
      <c r="Q25" s="69"/>
      <c r="R25" s="137"/>
      <c r="S25" s="69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3"/>
      <c r="AP25" s="243"/>
      <c r="AQ25" s="243"/>
      <c r="AR25" s="243"/>
      <c r="AS25" s="243"/>
      <c r="AT25" s="243"/>
      <c r="AU25" s="243"/>
      <c r="AV25" s="243"/>
      <c r="AW25" s="243"/>
      <c r="AX25" s="243"/>
      <c r="AY25" s="243"/>
      <c r="AZ25" s="243"/>
      <c r="BA25" s="243"/>
      <c r="BB25" s="243"/>
      <c r="BC25" s="243"/>
      <c r="BD25" s="243"/>
      <c r="BE25" s="243"/>
      <c r="BF25" s="243"/>
      <c r="BG25" s="243"/>
      <c r="BH25" s="243"/>
      <c r="BI25" s="243"/>
      <c r="BJ25" s="243"/>
      <c r="BK25" s="243"/>
      <c r="BL25" s="243"/>
      <c r="BM25" s="243"/>
      <c r="BN25" s="243"/>
      <c r="BO25" s="243"/>
      <c r="BP25" s="243"/>
      <c r="BQ25" s="243"/>
      <c r="BR25" s="243"/>
      <c r="BS25" s="243"/>
      <c r="BT25" s="243"/>
      <c r="BU25" s="243"/>
      <c r="BV25" s="243"/>
      <c r="BW25" s="243"/>
      <c r="BX25" s="243"/>
      <c r="BY25" s="243"/>
      <c r="BZ25" s="243"/>
      <c r="CA25" s="243"/>
      <c r="CB25" s="243"/>
      <c r="CC25" s="243"/>
      <c r="CD25" s="243"/>
      <c r="CE25" s="243"/>
      <c r="CF25" s="243"/>
      <c r="CG25" s="243"/>
      <c r="CH25" s="243"/>
      <c r="CI25" s="243"/>
      <c r="CJ25" s="243"/>
      <c r="CK25" s="243"/>
      <c r="CL25" s="243"/>
      <c r="CM25" s="243"/>
      <c r="CN25" s="243"/>
      <c r="CO25" s="243"/>
      <c r="CP25" s="243"/>
      <c r="CQ25" s="243"/>
      <c r="CR25" s="243"/>
      <c r="CS25" s="243"/>
      <c r="CT25" s="243"/>
      <c r="CU25" s="243"/>
      <c r="CV25" s="243"/>
      <c r="CW25" s="243"/>
      <c r="CX25" s="243"/>
      <c r="CY25" s="243"/>
      <c r="CZ25" s="243"/>
      <c r="DA25" s="243"/>
      <c r="DB25" s="243"/>
      <c r="DC25" s="243"/>
      <c r="DD25" s="243"/>
      <c r="DE25" s="243"/>
      <c r="DF25" s="243"/>
      <c r="DG25" s="243"/>
      <c r="DH25" s="243"/>
      <c r="DI25" s="243"/>
      <c r="DJ25" s="243"/>
      <c r="DK25" s="243"/>
      <c r="DL25" s="243"/>
      <c r="DM25" s="243"/>
      <c r="DN25" s="243"/>
      <c r="DO25" s="243"/>
      <c r="DP25" s="243"/>
      <c r="DQ25" s="243"/>
      <c r="DR25" s="243"/>
      <c r="DS25" s="243"/>
      <c r="DT25" s="243"/>
      <c r="DU25" s="243"/>
      <c r="DV25" s="243"/>
      <c r="DW25" s="243"/>
      <c r="DX25" s="243"/>
      <c r="DY25" s="243"/>
      <c r="DZ25" s="243"/>
      <c r="EA25" s="243"/>
      <c r="EB25" s="243"/>
      <c r="EC25" s="243"/>
      <c r="ED25" s="243"/>
      <c r="EE25" s="243"/>
      <c r="EF25" s="243"/>
      <c r="EG25" s="243"/>
      <c r="EH25" s="243"/>
      <c r="EI25" s="243"/>
      <c r="EJ25" s="243"/>
      <c r="EK25" s="243"/>
      <c r="EL25" s="243"/>
      <c r="EM25" s="243"/>
      <c r="EN25" s="243"/>
      <c r="EO25" s="243"/>
      <c r="EP25" s="243"/>
      <c r="EQ25" s="243"/>
      <c r="ER25" s="243"/>
      <c r="ES25" s="243"/>
      <c r="ET25" s="243"/>
      <c r="EU25" s="243"/>
      <c r="EV25" s="243"/>
      <c r="EW25" s="243"/>
      <c r="EX25" s="243"/>
      <c r="EY25" s="243"/>
      <c r="EZ25" s="243"/>
      <c r="FA25" s="243"/>
      <c r="FB25" s="243"/>
      <c r="FC25" s="243"/>
      <c r="FD25" s="243"/>
      <c r="FE25" s="243"/>
      <c r="FF25" s="243"/>
      <c r="FG25" s="243"/>
      <c r="FH25" s="243"/>
      <c r="FI25" s="243"/>
      <c r="FJ25" s="243"/>
      <c r="FK25" s="243"/>
      <c r="FL25" s="243"/>
      <c r="FM25" s="243"/>
      <c r="FN25" s="243"/>
      <c r="FO25" s="243"/>
      <c r="FP25" s="243"/>
      <c r="FQ25" s="243"/>
      <c r="FR25" s="243"/>
      <c r="FS25" s="243"/>
      <c r="FT25" s="243"/>
      <c r="FU25" s="243"/>
      <c r="FV25" s="243"/>
      <c r="FW25" s="243"/>
      <c r="FX25" s="243"/>
      <c r="FY25" s="243"/>
      <c r="FZ25" s="243"/>
      <c r="GA25" s="243"/>
      <c r="GB25" s="243"/>
      <c r="GC25" s="243"/>
      <c r="GD25" s="243"/>
      <c r="GE25" s="243"/>
      <c r="GF25" s="243"/>
      <c r="GG25" s="243"/>
      <c r="GH25" s="243"/>
      <c r="GI25" s="243"/>
      <c r="GJ25" s="243"/>
      <c r="GK25" s="243"/>
      <c r="GL25" s="243"/>
      <c r="GM25" s="243"/>
      <c r="GN25" s="243"/>
      <c r="GO25" s="243"/>
      <c r="GP25" s="243"/>
      <c r="GQ25" s="243"/>
      <c r="GR25" s="243"/>
      <c r="GS25" s="243"/>
      <c r="GT25" s="243"/>
      <c r="GU25" s="243"/>
      <c r="GV25" s="243"/>
      <c r="GW25" s="243"/>
      <c r="GX25" s="243"/>
      <c r="GY25" s="243"/>
      <c r="GZ25" s="243"/>
      <c r="HA25" s="243"/>
      <c r="HB25" s="243"/>
      <c r="HC25" s="243"/>
      <c r="HD25" s="243"/>
      <c r="HE25" s="243"/>
      <c r="HF25" s="243"/>
      <c r="HG25" s="243"/>
      <c r="HH25" s="243"/>
      <c r="HI25" s="243"/>
      <c r="HJ25" s="243"/>
      <c r="HK25" s="243"/>
      <c r="HL25" s="243"/>
      <c r="HM25" s="243"/>
      <c r="HN25" s="243"/>
      <c r="HO25" s="243"/>
      <c r="HP25" s="243"/>
      <c r="HQ25" s="243"/>
      <c r="HR25" s="243"/>
      <c r="HS25" s="243"/>
      <c r="HT25" s="243"/>
      <c r="HU25" s="243"/>
      <c r="HV25" s="243"/>
      <c r="HW25" s="243"/>
      <c r="HX25" s="243"/>
      <c r="HY25" s="243"/>
      <c r="HZ25" s="243"/>
      <c r="IA25" s="243"/>
    </row>
    <row r="26" spans="1:235" s="244" customFormat="1" ht="14.25" customHeight="1" x14ac:dyDescent="0.25">
      <c r="A26" s="241">
        <v>5</v>
      </c>
      <c r="B26" s="242" t="s">
        <v>108</v>
      </c>
      <c r="C26" s="363" t="s">
        <v>309</v>
      </c>
      <c r="D26" s="364" t="s">
        <v>124</v>
      </c>
      <c r="E26" s="365">
        <f>E22</f>
        <v>115.8</v>
      </c>
      <c r="F26" s="63"/>
      <c r="G26" s="64"/>
      <c r="H26" s="65"/>
      <c r="I26" s="64"/>
      <c r="J26" s="64"/>
      <c r="K26" s="66"/>
      <c r="L26" s="67"/>
      <c r="M26" s="64"/>
      <c r="N26" s="64"/>
      <c r="O26" s="64"/>
      <c r="P26" s="68"/>
      <c r="Q26" s="69"/>
      <c r="R26" s="137"/>
      <c r="S26" s="69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3"/>
      <c r="AK26" s="243"/>
      <c r="AL26" s="243"/>
      <c r="AM26" s="243"/>
      <c r="AN26" s="243"/>
      <c r="AO26" s="243"/>
      <c r="AP26" s="243"/>
      <c r="AQ26" s="243"/>
      <c r="AR26" s="243"/>
      <c r="AS26" s="243"/>
      <c r="AT26" s="243"/>
      <c r="AU26" s="243"/>
      <c r="AV26" s="243"/>
      <c r="AW26" s="243"/>
      <c r="AX26" s="243"/>
      <c r="AY26" s="243"/>
      <c r="AZ26" s="243"/>
      <c r="BA26" s="243"/>
      <c r="BB26" s="243"/>
      <c r="BC26" s="243"/>
      <c r="BD26" s="243"/>
      <c r="BE26" s="243"/>
      <c r="BF26" s="243"/>
      <c r="BG26" s="243"/>
      <c r="BH26" s="243"/>
      <c r="BI26" s="243"/>
      <c r="BJ26" s="243"/>
      <c r="BK26" s="243"/>
      <c r="BL26" s="243"/>
      <c r="BM26" s="243"/>
      <c r="BN26" s="243"/>
      <c r="BO26" s="243"/>
      <c r="BP26" s="243"/>
      <c r="BQ26" s="243"/>
      <c r="BR26" s="243"/>
      <c r="BS26" s="243"/>
      <c r="BT26" s="243"/>
      <c r="BU26" s="243"/>
      <c r="BV26" s="243"/>
      <c r="BW26" s="243"/>
      <c r="BX26" s="243"/>
      <c r="BY26" s="243"/>
      <c r="BZ26" s="243"/>
      <c r="CA26" s="243"/>
      <c r="CB26" s="243"/>
      <c r="CC26" s="243"/>
      <c r="CD26" s="243"/>
      <c r="CE26" s="243"/>
      <c r="CF26" s="243"/>
      <c r="CG26" s="243"/>
      <c r="CH26" s="243"/>
      <c r="CI26" s="243"/>
      <c r="CJ26" s="243"/>
      <c r="CK26" s="243"/>
      <c r="CL26" s="243"/>
      <c r="CM26" s="243"/>
      <c r="CN26" s="243"/>
      <c r="CO26" s="243"/>
      <c r="CP26" s="243"/>
      <c r="CQ26" s="243"/>
      <c r="CR26" s="243"/>
      <c r="CS26" s="243"/>
      <c r="CT26" s="243"/>
      <c r="CU26" s="243"/>
      <c r="CV26" s="243"/>
      <c r="CW26" s="243"/>
      <c r="CX26" s="243"/>
      <c r="CY26" s="243"/>
      <c r="CZ26" s="243"/>
      <c r="DA26" s="243"/>
      <c r="DB26" s="243"/>
      <c r="DC26" s="243"/>
      <c r="DD26" s="243"/>
      <c r="DE26" s="243"/>
      <c r="DF26" s="243"/>
      <c r="DG26" s="243"/>
      <c r="DH26" s="243"/>
      <c r="DI26" s="243"/>
      <c r="DJ26" s="243"/>
      <c r="DK26" s="243"/>
      <c r="DL26" s="243"/>
      <c r="DM26" s="243"/>
      <c r="DN26" s="243"/>
      <c r="DO26" s="243"/>
      <c r="DP26" s="243"/>
      <c r="DQ26" s="243"/>
      <c r="DR26" s="243"/>
      <c r="DS26" s="243"/>
      <c r="DT26" s="243"/>
      <c r="DU26" s="243"/>
      <c r="DV26" s="243"/>
      <c r="DW26" s="243"/>
      <c r="DX26" s="243"/>
      <c r="DY26" s="243"/>
      <c r="DZ26" s="243"/>
      <c r="EA26" s="243"/>
      <c r="EB26" s="243"/>
      <c r="EC26" s="243"/>
      <c r="ED26" s="243"/>
      <c r="EE26" s="243"/>
      <c r="EF26" s="243"/>
      <c r="EG26" s="243"/>
      <c r="EH26" s="243"/>
      <c r="EI26" s="243"/>
      <c r="EJ26" s="243"/>
      <c r="EK26" s="243"/>
      <c r="EL26" s="243"/>
      <c r="EM26" s="243"/>
      <c r="EN26" s="243"/>
      <c r="EO26" s="243"/>
      <c r="EP26" s="243"/>
      <c r="EQ26" s="243"/>
      <c r="ER26" s="243"/>
      <c r="ES26" s="243"/>
      <c r="ET26" s="243"/>
      <c r="EU26" s="243"/>
      <c r="EV26" s="243"/>
      <c r="EW26" s="243"/>
      <c r="EX26" s="243"/>
      <c r="EY26" s="243"/>
      <c r="EZ26" s="243"/>
      <c r="FA26" s="243"/>
      <c r="FB26" s="243"/>
      <c r="FC26" s="243"/>
      <c r="FD26" s="243"/>
      <c r="FE26" s="243"/>
      <c r="FF26" s="243"/>
      <c r="FG26" s="243"/>
      <c r="FH26" s="243"/>
      <c r="FI26" s="243"/>
      <c r="FJ26" s="243"/>
      <c r="FK26" s="243"/>
      <c r="FL26" s="243"/>
      <c r="FM26" s="243"/>
      <c r="FN26" s="243"/>
      <c r="FO26" s="243"/>
      <c r="FP26" s="243"/>
      <c r="FQ26" s="243"/>
      <c r="FR26" s="243"/>
      <c r="FS26" s="243"/>
      <c r="FT26" s="243"/>
      <c r="FU26" s="243"/>
      <c r="FV26" s="243"/>
      <c r="FW26" s="243"/>
      <c r="FX26" s="243"/>
      <c r="FY26" s="243"/>
      <c r="FZ26" s="243"/>
      <c r="GA26" s="243"/>
      <c r="GB26" s="243"/>
      <c r="GC26" s="243"/>
      <c r="GD26" s="243"/>
      <c r="GE26" s="243"/>
      <c r="GF26" s="243"/>
      <c r="GG26" s="243"/>
      <c r="GH26" s="243"/>
      <c r="GI26" s="243"/>
      <c r="GJ26" s="243"/>
      <c r="GK26" s="243"/>
      <c r="GL26" s="243"/>
      <c r="GM26" s="243"/>
      <c r="GN26" s="243"/>
      <c r="GO26" s="243"/>
      <c r="GP26" s="243"/>
      <c r="GQ26" s="243"/>
      <c r="GR26" s="243"/>
      <c r="GS26" s="243"/>
      <c r="GT26" s="243"/>
      <c r="GU26" s="243"/>
      <c r="GV26" s="243"/>
      <c r="GW26" s="243"/>
      <c r="GX26" s="243"/>
      <c r="GY26" s="243"/>
      <c r="GZ26" s="243"/>
      <c r="HA26" s="243"/>
      <c r="HB26" s="243"/>
      <c r="HC26" s="243"/>
      <c r="HD26" s="243"/>
      <c r="HE26" s="243"/>
      <c r="HF26" s="243"/>
      <c r="HG26" s="243"/>
      <c r="HH26" s="243"/>
      <c r="HI26" s="243"/>
      <c r="HJ26" s="243"/>
      <c r="HK26" s="243"/>
      <c r="HL26" s="243"/>
      <c r="HM26" s="243"/>
      <c r="HN26" s="243"/>
      <c r="HO26" s="243"/>
      <c r="HP26" s="243"/>
      <c r="HQ26" s="243"/>
      <c r="HR26" s="243"/>
      <c r="HS26" s="243"/>
      <c r="HT26" s="243"/>
      <c r="HU26" s="243"/>
      <c r="HV26" s="243"/>
      <c r="HW26" s="243"/>
      <c r="HX26" s="243"/>
      <c r="HY26" s="243"/>
      <c r="HZ26" s="243"/>
      <c r="IA26" s="243"/>
    </row>
    <row r="27" spans="1:235" s="244" customFormat="1" ht="50.25" customHeight="1" x14ac:dyDescent="0.25">
      <c r="A27" s="241">
        <v>6</v>
      </c>
      <c r="B27" s="242"/>
      <c r="C27" s="366" t="s">
        <v>676</v>
      </c>
      <c r="D27" s="364" t="s">
        <v>124</v>
      </c>
      <c r="E27" s="365">
        <f>E26*1.2</f>
        <v>138.95999999999998</v>
      </c>
      <c r="F27" s="63"/>
      <c r="G27" s="64"/>
      <c r="H27" s="65"/>
      <c r="I27" s="64"/>
      <c r="J27" s="64"/>
      <c r="K27" s="66"/>
      <c r="L27" s="67"/>
      <c r="M27" s="64"/>
      <c r="N27" s="64"/>
      <c r="O27" s="64"/>
      <c r="P27" s="68"/>
      <c r="Q27" s="69"/>
      <c r="R27" s="137"/>
      <c r="S27" s="69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3"/>
      <c r="AK27" s="243"/>
      <c r="AL27" s="243"/>
      <c r="AM27" s="243"/>
      <c r="AN27" s="243"/>
      <c r="AO27" s="243"/>
      <c r="AP27" s="243"/>
      <c r="AQ27" s="243"/>
      <c r="AR27" s="243"/>
      <c r="AS27" s="243"/>
      <c r="AT27" s="243"/>
      <c r="AU27" s="243"/>
      <c r="AV27" s="243"/>
      <c r="AW27" s="243"/>
      <c r="AX27" s="243"/>
      <c r="AY27" s="243"/>
      <c r="AZ27" s="243"/>
      <c r="BA27" s="243"/>
      <c r="BB27" s="243"/>
      <c r="BC27" s="243"/>
      <c r="BD27" s="243"/>
      <c r="BE27" s="243"/>
      <c r="BF27" s="243"/>
      <c r="BG27" s="243"/>
      <c r="BH27" s="243"/>
      <c r="BI27" s="243"/>
      <c r="BJ27" s="243"/>
      <c r="BK27" s="243"/>
      <c r="BL27" s="243"/>
      <c r="BM27" s="243"/>
      <c r="BN27" s="243"/>
      <c r="BO27" s="243"/>
      <c r="BP27" s="243"/>
      <c r="BQ27" s="243"/>
      <c r="BR27" s="243"/>
      <c r="BS27" s="243"/>
      <c r="BT27" s="243"/>
      <c r="BU27" s="243"/>
      <c r="BV27" s="243"/>
      <c r="BW27" s="243"/>
      <c r="BX27" s="243"/>
      <c r="BY27" s="243"/>
      <c r="BZ27" s="243"/>
      <c r="CA27" s="243"/>
      <c r="CB27" s="243"/>
      <c r="CC27" s="243"/>
      <c r="CD27" s="243"/>
      <c r="CE27" s="243"/>
      <c r="CF27" s="243"/>
      <c r="CG27" s="243"/>
      <c r="CH27" s="243"/>
      <c r="CI27" s="243"/>
      <c r="CJ27" s="243"/>
      <c r="CK27" s="243"/>
      <c r="CL27" s="243"/>
      <c r="CM27" s="243"/>
      <c r="CN27" s="243"/>
      <c r="CO27" s="243"/>
      <c r="CP27" s="243"/>
      <c r="CQ27" s="243"/>
      <c r="CR27" s="243"/>
      <c r="CS27" s="243"/>
      <c r="CT27" s="243"/>
      <c r="CU27" s="243"/>
      <c r="CV27" s="243"/>
      <c r="CW27" s="243"/>
      <c r="CX27" s="243"/>
      <c r="CY27" s="243"/>
      <c r="CZ27" s="243"/>
      <c r="DA27" s="243"/>
      <c r="DB27" s="243"/>
      <c r="DC27" s="243"/>
      <c r="DD27" s="243"/>
      <c r="DE27" s="243"/>
      <c r="DF27" s="243"/>
      <c r="DG27" s="243"/>
      <c r="DH27" s="243"/>
      <c r="DI27" s="243"/>
      <c r="DJ27" s="243"/>
      <c r="DK27" s="243"/>
      <c r="DL27" s="243"/>
      <c r="DM27" s="243"/>
      <c r="DN27" s="243"/>
      <c r="DO27" s="243"/>
      <c r="DP27" s="243"/>
      <c r="DQ27" s="243"/>
      <c r="DR27" s="243"/>
      <c r="DS27" s="243"/>
      <c r="DT27" s="243"/>
      <c r="DU27" s="243"/>
      <c r="DV27" s="243"/>
      <c r="DW27" s="243"/>
      <c r="DX27" s="243"/>
      <c r="DY27" s="243"/>
      <c r="DZ27" s="243"/>
      <c r="EA27" s="243"/>
      <c r="EB27" s="243"/>
      <c r="EC27" s="243"/>
      <c r="ED27" s="243"/>
      <c r="EE27" s="243"/>
      <c r="EF27" s="243"/>
      <c r="EG27" s="243"/>
      <c r="EH27" s="243"/>
      <c r="EI27" s="243"/>
      <c r="EJ27" s="243"/>
      <c r="EK27" s="243"/>
      <c r="EL27" s="243"/>
      <c r="EM27" s="243"/>
      <c r="EN27" s="243"/>
      <c r="EO27" s="243"/>
      <c r="EP27" s="243"/>
      <c r="EQ27" s="243"/>
      <c r="ER27" s="243"/>
      <c r="ES27" s="243"/>
      <c r="ET27" s="243"/>
      <c r="EU27" s="243"/>
      <c r="EV27" s="243"/>
      <c r="EW27" s="243"/>
      <c r="EX27" s="243"/>
      <c r="EY27" s="243"/>
      <c r="EZ27" s="243"/>
      <c r="FA27" s="243"/>
      <c r="FB27" s="243"/>
      <c r="FC27" s="243"/>
      <c r="FD27" s="243"/>
      <c r="FE27" s="243"/>
      <c r="FF27" s="243"/>
      <c r="FG27" s="243"/>
      <c r="FH27" s="243"/>
      <c r="FI27" s="243"/>
      <c r="FJ27" s="243"/>
      <c r="FK27" s="243"/>
      <c r="FL27" s="243"/>
      <c r="FM27" s="243"/>
      <c r="FN27" s="243"/>
      <c r="FO27" s="243"/>
      <c r="FP27" s="243"/>
      <c r="FQ27" s="243"/>
      <c r="FR27" s="243"/>
      <c r="FS27" s="243"/>
      <c r="FT27" s="243"/>
      <c r="FU27" s="243"/>
      <c r="FV27" s="243"/>
      <c r="FW27" s="243"/>
      <c r="FX27" s="243"/>
      <c r="FY27" s="243"/>
      <c r="FZ27" s="243"/>
      <c r="GA27" s="243"/>
      <c r="GB27" s="243"/>
      <c r="GC27" s="243"/>
      <c r="GD27" s="243"/>
      <c r="GE27" s="243"/>
      <c r="GF27" s="243"/>
      <c r="GG27" s="243"/>
      <c r="GH27" s="243"/>
      <c r="GI27" s="243"/>
      <c r="GJ27" s="243"/>
      <c r="GK27" s="243"/>
      <c r="GL27" s="243"/>
      <c r="GM27" s="243"/>
      <c r="GN27" s="243"/>
      <c r="GO27" s="243"/>
      <c r="GP27" s="243"/>
      <c r="GQ27" s="243"/>
      <c r="GR27" s="243"/>
      <c r="GS27" s="243"/>
      <c r="GT27" s="243"/>
      <c r="GU27" s="243"/>
      <c r="GV27" s="243"/>
      <c r="GW27" s="243"/>
      <c r="GX27" s="243"/>
      <c r="GY27" s="243"/>
      <c r="GZ27" s="243"/>
      <c r="HA27" s="243"/>
      <c r="HB27" s="243"/>
      <c r="HC27" s="243"/>
      <c r="HD27" s="243"/>
      <c r="HE27" s="243"/>
      <c r="HF27" s="243"/>
      <c r="HG27" s="243"/>
      <c r="HH27" s="243"/>
      <c r="HI27" s="243"/>
      <c r="HJ27" s="243"/>
      <c r="HK27" s="243"/>
      <c r="HL27" s="243"/>
      <c r="HM27" s="243"/>
      <c r="HN27" s="243"/>
      <c r="HO27" s="243"/>
      <c r="HP27" s="243"/>
      <c r="HQ27" s="243"/>
      <c r="HR27" s="243"/>
      <c r="HS27" s="243"/>
      <c r="HT27" s="243"/>
      <c r="HU27" s="243"/>
      <c r="HV27" s="243"/>
      <c r="HW27" s="243"/>
      <c r="HX27" s="243"/>
      <c r="HY27" s="243"/>
      <c r="HZ27" s="243"/>
      <c r="IA27" s="243"/>
    </row>
    <row r="28" spans="1:235" s="244" customFormat="1" ht="14.25" customHeight="1" x14ac:dyDescent="0.25">
      <c r="A28" s="241">
        <v>7</v>
      </c>
      <c r="B28" s="242"/>
      <c r="C28" s="366" t="s">
        <v>677</v>
      </c>
      <c r="D28" s="364" t="s">
        <v>180</v>
      </c>
      <c r="E28" s="365">
        <f>E26*0.35*1.1</f>
        <v>44.582999999999998</v>
      </c>
      <c r="F28" s="63"/>
      <c r="G28" s="64"/>
      <c r="H28" s="65"/>
      <c r="I28" s="64"/>
      <c r="J28" s="64"/>
      <c r="K28" s="66"/>
      <c r="L28" s="67"/>
      <c r="M28" s="64"/>
      <c r="N28" s="64"/>
      <c r="O28" s="64"/>
      <c r="P28" s="68"/>
      <c r="Q28" s="69"/>
      <c r="R28" s="137"/>
      <c r="S28" s="69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243"/>
      <c r="BB28" s="243"/>
      <c r="BC28" s="243"/>
      <c r="BD28" s="243"/>
      <c r="BE28" s="243"/>
      <c r="BF28" s="243"/>
      <c r="BG28" s="243"/>
      <c r="BH28" s="243"/>
      <c r="BI28" s="243"/>
      <c r="BJ28" s="243"/>
      <c r="BK28" s="243"/>
      <c r="BL28" s="243"/>
      <c r="BM28" s="243"/>
      <c r="BN28" s="243"/>
      <c r="BO28" s="243"/>
      <c r="BP28" s="243"/>
      <c r="BQ28" s="243"/>
      <c r="BR28" s="243"/>
      <c r="BS28" s="243"/>
      <c r="BT28" s="243"/>
      <c r="BU28" s="243"/>
      <c r="BV28" s="243"/>
      <c r="BW28" s="243"/>
      <c r="BX28" s="243"/>
      <c r="BY28" s="243"/>
      <c r="BZ28" s="243"/>
      <c r="CA28" s="243"/>
      <c r="CB28" s="243"/>
      <c r="CC28" s="243"/>
      <c r="CD28" s="243"/>
      <c r="CE28" s="243"/>
      <c r="CF28" s="243"/>
      <c r="CG28" s="243"/>
      <c r="CH28" s="243"/>
      <c r="CI28" s="243"/>
      <c r="CJ28" s="243"/>
      <c r="CK28" s="243"/>
      <c r="CL28" s="243"/>
      <c r="CM28" s="243"/>
      <c r="CN28" s="243"/>
      <c r="CO28" s="243"/>
      <c r="CP28" s="243"/>
      <c r="CQ28" s="243"/>
      <c r="CR28" s="243"/>
      <c r="CS28" s="243"/>
      <c r="CT28" s="243"/>
      <c r="CU28" s="243"/>
      <c r="CV28" s="243"/>
      <c r="CW28" s="243"/>
      <c r="CX28" s="243"/>
      <c r="CY28" s="243"/>
      <c r="CZ28" s="243"/>
      <c r="DA28" s="243"/>
      <c r="DB28" s="243"/>
      <c r="DC28" s="243"/>
      <c r="DD28" s="243"/>
      <c r="DE28" s="243"/>
      <c r="DF28" s="243"/>
      <c r="DG28" s="243"/>
      <c r="DH28" s="243"/>
      <c r="DI28" s="243"/>
      <c r="DJ28" s="243"/>
      <c r="DK28" s="243"/>
      <c r="DL28" s="243"/>
      <c r="DM28" s="243"/>
      <c r="DN28" s="243"/>
      <c r="DO28" s="243"/>
      <c r="DP28" s="243"/>
      <c r="DQ28" s="243"/>
      <c r="DR28" s="243"/>
      <c r="DS28" s="243"/>
      <c r="DT28" s="243"/>
      <c r="DU28" s="243"/>
      <c r="DV28" s="243"/>
      <c r="DW28" s="243"/>
      <c r="DX28" s="243"/>
      <c r="DY28" s="243"/>
      <c r="DZ28" s="243"/>
      <c r="EA28" s="243"/>
      <c r="EB28" s="243"/>
      <c r="EC28" s="243"/>
      <c r="ED28" s="243"/>
      <c r="EE28" s="243"/>
      <c r="EF28" s="243"/>
      <c r="EG28" s="243"/>
      <c r="EH28" s="243"/>
      <c r="EI28" s="243"/>
      <c r="EJ28" s="243"/>
      <c r="EK28" s="243"/>
      <c r="EL28" s="243"/>
      <c r="EM28" s="243"/>
      <c r="EN28" s="243"/>
      <c r="EO28" s="243"/>
      <c r="EP28" s="243"/>
      <c r="EQ28" s="243"/>
      <c r="ER28" s="243"/>
      <c r="ES28" s="243"/>
      <c r="ET28" s="243"/>
      <c r="EU28" s="243"/>
      <c r="EV28" s="243"/>
      <c r="EW28" s="243"/>
      <c r="EX28" s="243"/>
      <c r="EY28" s="243"/>
      <c r="EZ28" s="243"/>
      <c r="FA28" s="243"/>
      <c r="FB28" s="243"/>
      <c r="FC28" s="243"/>
      <c r="FD28" s="243"/>
      <c r="FE28" s="243"/>
      <c r="FF28" s="243"/>
      <c r="FG28" s="243"/>
      <c r="FH28" s="243"/>
      <c r="FI28" s="243"/>
      <c r="FJ28" s="243"/>
      <c r="FK28" s="243"/>
      <c r="FL28" s="243"/>
      <c r="FM28" s="243"/>
      <c r="FN28" s="243"/>
      <c r="FO28" s="243"/>
      <c r="FP28" s="243"/>
      <c r="FQ28" s="243"/>
      <c r="FR28" s="243"/>
      <c r="FS28" s="243"/>
      <c r="FT28" s="243"/>
      <c r="FU28" s="243"/>
      <c r="FV28" s="243"/>
      <c r="FW28" s="243"/>
      <c r="FX28" s="243"/>
      <c r="FY28" s="243"/>
      <c r="FZ28" s="243"/>
      <c r="GA28" s="243"/>
      <c r="GB28" s="243"/>
      <c r="GC28" s="243"/>
      <c r="GD28" s="243"/>
      <c r="GE28" s="243"/>
      <c r="GF28" s="243"/>
      <c r="GG28" s="243"/>
      <c r="GH28" s="243"/>
      <c r="GI28" s="243"/>
      <c r="GJ28" s="243"/>
      <c r="GK28" s="243"/>
      <c r="GL28" s="243"/>
      <c r="GM28" s="243"/>
      <c r="GN28" s="243"/>
      <c r="GO28" s="243"/>
      <c r="GP28" s="243"/>
      <c r="GQ28" s="243"/>
      <c r="GR28" s="243"/>
      <c r="GS28" s="243"/>
      <c r="GT28" s="243"/>
      <c r="GU28" s="243"/>
      <c r="GV28" s="243"/>
      <c r="GW28" s="243"/>
      <c r="GX28" s="243"/>
      <c r="GY28" s="243"/>
      <c r="GZ28" s="243"/>
      <c r="HA28" s="243"/>
      <c r="HB28" s="243"/>
      <c r="HC28" s="243"/>
      <c r="HD28" s="243"/>
      <c r="HE28" s="243"/>
      <c r="HF28" s="243"/>
      <c r="HG28" s="243"/>
      <c r="HH28" s="243"/>
      <c r="HI28" s="243"/>
      <c r="HJ28" s="243"/>
      <c r="HK28" s="243"/>
      <c r="HL28" s="243"/>
      <c r="HM28" s="243"/>
      <c r="HN28" s="243"/>
      <c r="HO28" s="243"/>
      <c r="HP28" s="243"/>
      <c r="HQ28" s="243"/>
      <c r="HR28" s="243"/>
      <c r="HS28" s="243"/>
      <c r="HT28" s="243"/>
      <c r="HU28" s="243"/>
      <c r="HV28" s="243"/>
      <c r="HW28" s="243"/>
      <c r="HX28" s="243"/>
      <c r="HY28" s="243"/>
      <c r="HZ28" s="243"/>
      <c r="IA28" s="243"/>
    </row>
    <row r="29" spans="1:235" s="244" customFormat="1" ht="14.25" customHeight="1" x14ac:dyDescent="0.25">
      <c r="A29" s="241">
        <v>8</v>
      </c>
      <c r="B29" s="242"/>
      <c r="C29" s="366" t="s">
        <v>310</v>
      </c>
      <c r="D29" s="364" t="s">
        <v>110</v>
      </c>
      <c r="E29" s="365">
        <f>E26*0.7*1.1</f>
        <v>89.165999999999997</v>
      </c>
      <c r="F29" s="63"/>
      <c r="G29" s="64"/>
      <c r="H29" s="65"/>
      <c r="I29" s="64"/>
      <c r="J29" s="64"/>
      <c r="K29" s="66"/>
      <c r="L29" s="67"/>
      <c r="M29" s="64"/>
      <c r="N29" s="64"/>
      <c r="O29" s="64"/>
      <c r="P29" s="68"/>
      <c r="Q29" s="69"/>
      <c r="R29" s="137"/>
      <c r="S29" s="69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  <c r="BA29" s="243"/>
      <c r="BB29" s="243"/>
      <c r="BC29" s="243"/>
      <c r="BD29" s="243"/>
      <c r="BE29" s="243"/>
      <c r="BF29" s="243"/>
      <c r="BG29" s="243"/>
      <c r="BH29" s="243"/>
      <c r="BI29" s="243"/>
      <c r="BJ29" s="243"/>
      <c r="BK29" s="243"/>
      <c r="BL29" s="243"/>
      <c r="BM29" s="243"/>
      <c r="BN29" s="243"/>
      <c r="BO29" s="243"/>
      <c r="BP29" s="243"/>
      <c r="BQ29" s="243"/>
      <c r="BR29" s="243"/>
      <c r="BS29" s="243"/>
      <c r="BT29" s="243"/>
      <c r="BU29" s="243"/>
      <c r="BV29" s="243"/>
      <c r="BW29" s="243"/>
      <c r="BX29" s="243"/>
      <c r="BY29" s="243"/>
      <c r="BZ29" s="243"/>
      <c r="CA29" s="243"/>
      <c r="CB29" s="243"/>
      <c r="CC29" s="243"/>
      <c r="CD29" s="243"/>
      <c r="CE29" s="243"/>
      <c r="CF29" s="243"/>
      <c r="CG29" s="243"/>
      <c r="CH29" s="243"/>
      <c r="CI29" s="243"/>
      <c r="CJ29" s="243"/>
      <c r="CK29" s="243"/>
      <c r="CL29" s="243"/>
      <c r="CM29" s="243"/>
      <c r="CN29" s="243"/>
      <c r="CO29" s="243"/>
      <c r="CP29" s="243"/>
      <c r="CQ29" s="243"/>
      <c r="CR29" s="243"/>
      <c r="CS29" s="243"/>
      <c r="CT29" s="243"/>
      <c r="CU29" s="243"/>
      <c r="CV29" s="243"/>
      <c r="CW29" s="243"/>
      <c r="CX29" s="243"/>
      <c r="CY29" s="243"/>
      <c r="CZ29" s="243"/>
      <c r="DA29" s="243"/>
      <c r="DB29" s="243"/>
      <c r="DC29" s="243"/>
      <c r="DD29" s="243"/>
      <c r="DE29" s="243"/>
      <c r="DF29" s="243"/>
      <c r="DG29" s="243"/>
      <c r="DH29" s="243"/>
      <c r="DI29" s="243"/>
      <c r="DJ29" s="243"/>
      <c r="DK29" s="243"/>
      <c r="DL29" s="243"/>
      <c r="DM29" s="243"/>
      <c r="DN29" s="243"/>
      <c r="DO29" s="243"/>
      <c r="DP29" s="243"/>
      <c r="DQ29" s="243"/>
      <c r="DR29" s="243"/>
      <c r="DS29" s="243"/>
      <c r="DT29" s="243"/>
      <c r="DU29" s="243"/>
      <c r="DV29" s="243"/>
      <c r="DW29" s="243"/>
      <c r="DX29" s="243"/>
      <c r="DY29" s="243"/>
      <c r="DZ29" s="243"/>
      <c r="EA29" s="243"/>
      <c r="EB29" s="243"/>
      <c r="EC29" s="243"/>
      <c r="ED29" s="243"/>
      <c r="EE29" s="243"/>
      <c r="EF29" s="243"/>
      <c r="EG29" s="243"/>
      <c r="EH29" s="243"/>
      <c r="EI29" s="243"/>
      <c r="EJ29" s="243"/>
      <c r="EK29" s="243"/>
      <c r="EL29" s="243"/>
      <c r="EM29" s="243"/>
      <c r="EN29" s="243"/>
      <c r="EO29" s="243"/>
      <c r="EP29" s="243"/>
      <c r="EQ29" s="243"/>
      <c r="ER29" s="243"/>
      <c r="ES29" s="243"/>
      <c r="ET29" s="243"/>
      <c r="EU29" s="243"/>
      <c r="EV29" s="243"/>
      <c r="EW29" s="243"/>
      <c r="EX29" s="243"/>
      <c r="EY29" s="243"/>
      <c r="EZ29" s="243"/>
      <c r="FA29" s="243"/>
      <c r="FB29" s="243"/>
      <c r="FC29" s="243"/>
      <c r="FD29" s="243"/>
      <c r="FE29" s="243"/>
      <c r="FF29" s="243"/>
      <c r="FG29" s="243"/>
      <c r="FH29" s="243"/>
      <c r="FI29" s="243"/>
      <c r="FJ29" s="243"/>
      <c r="FK29" s="243"/>
      <c r="FL29" s="243"/>
      <c r="FM29" s="243"/>
      <c r="FN29" s="243"/>
      <c r="FO29" s="243"/>
      <c r="FP29" s="243"/>
      <c r="FQ29" s="243"/>
      <c r="FR29" s="243"/>
      <c r="FS29" s="243"/>
      <c r="FT29" s="243"/>
      <c r="FU29" s="243"/>
      <c r="FV29" s="243"/>
      <c r="FW29" s="243"/>
      <c r="FX29" s="243"/>
      <c r="FY29" s="243"/>
      <c r="FZ29" s="243"/>
      <c r="GA29" s="243"/>
      <c r="GB29" s="243"/>
      <c r="GC29" s="243"/>
      <c r="GD29" s="243"/>
      <c r="GE29" s="243"/>
      <c r="GF29" s="243"/>
      <c r="GG29" s="243"/>
      <c r="GH29" s="243"/>
      <c r="GI29" s="243"/>
      <c r="GJ29" s="243"/>
      <c r="GK29" s="243"/>
      <c r="GL29" s="243"/>
      <c r="GM29" s="243"/>
      <c r="GN29" s="243"/>
      <c r="GO29" s="243"/>
      <c r="GP29" s="243"/>
      <c r="GQ29" s="243"/>
      <c r="GR29" s="243"/>
      <c r="GS29" s="243"/>
      <c r="GT29" s="243"/>
      <c r="GU29" s="243"/>
      <c r="GV29" s="243"/>
      <c r="GW29" s="243"/>
      <c r="GX29" s="243"/>
      <c r="GY29" s="243"/>
      <c r="GZ29" s="243"/>
      <c r="HA29" s="243"/>
      <c r="HB29" s="243"/>
      <c r="HC29" s="243"/>
      <c r="HD29" s="243"/>
      <c r="HE29" s="243"/>
      <c r="HF29" s="243"/>
      <c r="HG29" s="243"/>
      <c r="HH29" s="243"/>
      <c r="HI29" s="243"/>
      <c r="HJ29" s="243"/>
      <c r="HK29" s="243"/>
      <c r="HL29" s="243"/>
      <c r="HM29" s="243"/>
      <c r="HN29" s="243"/>
      <c r="HO29" s="243"/>
      <c r="HP29" s="243"/>
      <c r="HQ29" s="243"/>
      <c r="HR29" s="243"/>
      <c r="HS29" s="243"/>
      <c r="HT29" s="243"/>
      <c r="HU29" s="243"/>
      <c r="HV29" s="243"/>
      <c r="HW29" s="243"/>
      <c r="HX29" s="243"/>
      <c r="HY29" s="243"/>
      <c r="HZ29" s="243"/>
      <c r="IA29" s="243"/>
    </row>
    <row r="30" spans="1:235" s="244" customFormat="1" ht="14.25" customHeight="1" x14ac:dyDescent="0.25">
      <c r="A30" s="241"/>
      <c r="B30" s="242"/>
      <c r="C30" s="367" t="s">
        <v>311</v>
      </c>
      <c r="D30" s="364"/>
      <c r="E30" s="365"/>
      <c r="F30" s="63"/>
      <c r="G30" s="64"/>
      <c r="H30" s="65"/>
      <c r="I30" s="64"/>
      <c r="J30" s="64"/>
      <c r="K30" s="66"/>
      <c r="L30" s="67"/>
      <c r="M30" s="64"/>
      <c r="N30" s="64"/>
      <c r="O30" s="64"/>
      <c r="P30" s="68"/>
      <c r="Q30" s="69"/>
      <c r="R30" s="137"/>
      <c r="S30" s="69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3"/>
      <c r="AO30" s="243"/>
      <c r="AP30" s="243"/>
      <c r="AQ30" s="243"/>
      <c r="AR30" s="243"/>
      <c r="AS30" s="243"/>
      <c r="AT30" s="243"/>
      <c r="AU30" s="243"/>
      <c r="AV30" s="243"/>
      <c r="AW30" s="243"/>
      <c r="AX30" s="243"/>
      <c r="AY30" s="243"/>
      <c r="AZ30" s="243"/>
      <c r="BA30" s="243"/>
      <c r="BB30" s="243"/>
      <c r="BC30" s="243"/>
      <c r="BD30" s="243"/>
      <c r="BE30" s="243"/>
      <c r="BF30" s="243"/>
      <c r="BG30" s="243"/>
      <c r="BH30" s="243"/>
      <c r="BI30" s="243"/>
      <c r="BJ30" s="243"/>
      <c r="BK30" s="243"/>
      <c r="BL30" s="243"/>
      <c r="BM30" s="243"/>
      <c r="BN30" s="243"/>
      <c r="BO30" s="243"/>
      <c r="BP30" s="243"/>
      <c r="BQ30" s="243"/>
      <c r="BR30" s="243"/>
      <c r="BS30" s="243"/>
      <c r="BT30" s="243"/>
      <c r="BU30" s="243"/>
      <c r="BV30" s="243"/>
      <c r="BW30" s="243"/>
      <c r="BX30" s="243"/>
      <c r="BY30" s="243"/>
      <c r="BZ30" s="243"/>
      <c r="CA30" s="243"/>
      <c r="CB30" s="243"/>
      <c r="CC30" s="243"/>
      <c r="CD30" s="243"/>
      <c r="CE30" s="243"/>
      <c r="CF30" s="243"/>
      <c r="CG30" s="243"/>
      <c r="CH30" s="243"/>
      <c r="CI30" s="243"/>
      <c r="CJ30" s="243"/>
      <c r="CK30" s="243"/>
      <c r="CL30" s="243"/>
      <c r="CM30" s="243"/>
      <c r="CN30" s="243"/>
      <c r="CO30" s="243"/>
      <c r="CP30" s="243"/>
      <c r="CQ30" s="243"/>
      <c r="CR30" s="243"/>
      <c r="CS30" s="243"/>
      <c r="CT30" s="243"/>
      <c r="CU30" s="243"/>
      <c r="CV30" s="243"/>
      <c r="CW30" s="243"/>
      <c r="CX30" s="243"/>
      <c r="CY30" s="243"/>
      <c r="CZ30" s="243"/>
      <c r="DA30" s="243"/>
      <c r="DB30" s="243"/>
      <c r="DC30" s="243"/>
      <c r="DD30" s="243"/>
      <c r="DE30" s="243"/>
      <c r="DF30" s="243"/>
      <c r="DG30" s="243"/>
      <c r="DH30" s="243"/>
      <c r="DI30" s="243"/>
      <c r="DJ30" s="243"/>
      <c r="DK30" s="243"/>
      <c r="DL30" s="243"/>
      <c r="DM30" s="243"/>
      <c r="DN30" s="243"/>
      <c r="DO30" s="243"/>
      <c r="DP30" s="243"/>
      <c r="DQ30" s="243"/>
      <c r="DR30" s="243"/>
      <c r="DS30" s="243"/>
      <c r="DT30" s="243"/>
      <c r="DU30" s="243"/>
      <c r="DV30" s="243"/>
      <c r="DW30" s="243"/>
      <c r="DX30" s="243"/>
      <c r="DY30" s="243"/>
      <c r="DZ30" s="243"/>
      <c r="EA30" s="243"/>
      <c r="EB30" s="243"/>
      <c r="EC30" s="243"/>
      <c r="ED30" s="243"/>
      <c r="EE30" s="243"/>
      <c r="EF30" s="243"/>
      <c r="EG30" s="243"/>
      <c r="EH30" s="243"/>
      <c r="EI30" s="243"/>
      <c r="EJ30" s="243"/>
      <c r="EK30" s="243"/>
      <c r="EL30" s="243"/>
      <c r="EM30" s="243"/>
      <c r="EN30" s="243"/>
      <c r="EO30" s="243"/>
      <c r="EP30" s="243"/>
      <c r="EQ30" s="243"/>
      <c r="ER30" s="243"/>
      <c r="ES30" s="243"/>
      <c r="ET30" s="243"/>
      <c r="EU30" s="243"/>
      <c r="EV30" s="243"/>
      <c r="EW30" s="243"/>
      <c r="EX30" s="243"/>
      <c r="EY30" s="243"/>
      <c r="EZ30" s="243"/>
      <c r="FA30" s="243"/>
      <c r="FB30" s="243"/>
      <c r="FC30" s="243"/>
      <c r="FD30" s="243"/>
      <c r="FE30" s="243"/>
      <c r="FF30" s="243"/>
      <c r="FG30" s="243"/>
      <c r="FH30" s="243"/>
      <c r="FI30" s="243"/>
      <c r="FJ30" s="243"/>
      <c r="FK30" s="243"/>
      <c r="FL30" s="243"/>
      <c r="FM30" s="243"/>
      <c r="FN30" s="243"/>
      <c r="FO30" s="243"/>
      <c r="FP30" s="243"/>
      <c r="FQ30" s="243"/>
      <c r="FR30" s="243"/>
      <c r="FS30" s="243"/>
      <c r="FT30" s="243"/>
      <c r="FU30" s="243"/>
      <c r="FV30" s="243"/>
      <c r="FW30" s="243"/>
      <c r="FX30" s="243"/>
      <c r="FY30" s="243"/>
      <c r="FZ30" s="243"/>
      <c r="GA30" s="243"/>
      <c r="GB30" s="243"/>
      <c r="GC30" s="243"/>
      <c r="GD30" s="243"/>
      <c r="GE30" s="243"/>
      <c r="GF30" s="243"/>
      <c r="GG30" s="243"/>
      <c r="GH30" s="243"/>
      <c r="GI30" s="243"/>
      <c r="GJ30" s="243"/>
      <c r="GK30" s="243"/>
      <c r="GL30" s="243"/>
      <c r="GM30" s="243"/>
      <c r="GN30" s="243"/>
      <c r="GO30" s="243"/>
      <c r="GP30" s="243"/>
      <c r="GQ30" s="243"/>
      <c r="GR30" s="243"/>
      <c r="GS30" s="243"/>
      <c r="GT30" s="243"/>
      <c r="GU30" s="243"/>
      <c r="GV30" s="243"/>
      <c r="GW30" s="243"/>
      <c r="GX30" s="243"/>
      <c r="GY30" s="243"/>
      <c r="GZ30" s="243"/>
      <c r="HA30" s="243"/>
      <c r="HB30" s="243"/>
      <c r="HC30" s="243"/>
      <c r="HD30" s="243"/>
      <c r="HE30" s="243"/>
      <c r="HF30" s="243"/>
      <c r="HG30" s="243"/>
      <c r="HH30" s="243"/>
      <c r="HI30" s="243"/>
      <c r="HJ30" s="243"/>
      <c r="HK30" s="243"/>
      <c r="HL30" s="243"/>
      <c r="HM30" s="243"/>
      <c r="HN30" s="243"/>
      <c r="HO30" s="243"/>
      <c r="HP30" s="243"/>
      <c r="HQ30" s="243"/>
      <c r="HR30" s="243"/>
      <c r="HS30" s="243"/>
      <c r="HT30" s="243"/>
      <c r="HU30" s="243"/>
      <c r="HV30" s="243"/>
      <c r="HW30" s="243"/>
      <c r="HX30" s="243"/>
      <c r="HY30" s="243"/>
      <c r="HZ30" s="243"/>
      <c r="IA30" s="243"/>
    </row>
    <row r="31" spans="1:235" s="244" customFormat="1" ht="14.25" customHeight="1" x14ac:dyDescent="0.25">
      <c r="A31" s="241">
        <v>1</v>
      </c>
      <c r="B31" s="242" t="s">
        <v>108</v>
      </c>
      <c r="C31" s="363" t="s">
        <v>313</v>
      </c>
      <c r="D31" s="364" t="s">
        <v>124</v>
      </c>
      <c r="E31" s="365">
        <f>49.8*0+54.02</f>
        <v>54.02</v>
      </c>
      <c r="F31" s="63"/>
      <c r="G31" s="64"/>
      <c r="H31" s="65"/>
      <c r="I31" s="64"/>
      <c r="J31" s="64"/>
      <c r="K31" s="66"/>
      <c r="L31" s="67"/>
      <c r="M31" s="64"/>
      <c r="N31" s="64"/>
      <c r="O31" s="64"/>
      <c r="P31" s="68"/>
      <c r="Q31" s="69"/>
      <c r="R31" s="137"/>
      <c r="S31" s="69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3"/>
      <c r="AL31" s="243"/>
      <c r="AM31" s="243"/>
      <c r="AN31" s="243"/>
      <c r="AO31" s="243"/>
      <c r="AP31" s="243"/>
      <c r="AQ31" s="243"/>
      <c r="AR31" s="243"/>
      <c r="AS31" s="243"/>
      <c r="AT31" s="243"/>
      <c r="AU31" s="243"/>
      <c r="AV31" s="243"/>
      <c r="AW31" s="243"/>
      <c r="AX31" s="243"/>
      <c r="AY31" s="243"/>
      <c r="AZ31" s="243"/>
      <c r="BA31" s="243"/>
      <c r="BB31" s="243"/>
      <c r="BC31" s="243"/>
      <c r="BD31" s="243"/>
      <c r="BE31" s="243"/>
      <c r="BF31" s="243"/>
      <c r="BG31" s="243"/>
      <c r="BH31" s="243"/>
      <c r="BI31" s="243"/>
      <c r="BJ31" s="243"/>
      <c r="BK31" s="243"/>
      <c r="BL31" s="243"/>
      <c r="BM31" s="243"/>
      <c r="BN31" s="243"/>
      <c r="BO31" s="243"/>
      <c r="BP31" s="243"/>
      <c r="BQ31" s="243"/>
      <c r="BR31" s="243"/>
      <c r="BS31" s="243"/>
      <c r="BT31" s="243"/>
      <c r="BU31" s="243"/>
      <c r="BV31" s="243"/>
      <c r="BW31" s="243"/>
      <c r="BX31" s="243"/>
      <c r="BY31" s="243"/>
      <c r="BZ31" s="243"/>
      <c r="CA31" s="243"/>
      <c r="CB31" s="243"/>
      <c r="CC31" s="243"/>
      <c r="CD31" s="243"/>
      <c r="CE31" s="243"/>
      <c r="CF31" s="243"/>
      <c r="CG31" s="243"/>
      <c r="CH31" s="243"/>
      <c r="CI31" s="243"/>
      <c r="CJ31" s="243"/>
      <c r="CK31" s="243"/>
      <c r="CL31" s="243"/>
      <c r="CM31" s="243"/>
      <c r="CN31" s="243"/>
      <c r="CO31" s="243"/>
      <c r="CP31" s="243"/>
      <c r="CQ31" s="243"/>
      <c r="CR31" s="243"/>
      <c r="CS31" s="243"/>
      <c r="CT31" s="243"/>
      <c r="CU31" s="243"/>
      <c r="CV31" s="243"/>
      <c r="CW31" s="243"/>
      <c r="CX31" s="243"/>
      <c r="CY31" s="243"/>
      <c r="CZ31" s="243"/>
      <c r="DA31" s="243"/>
      <c r="DB31" s="243"/>
      <c r="DC31" s="243"/>
      <c r="DD31" s="243"/>
      <c r="DE31" s="243"/>
      <c r="DF31" s="243"/>
      <c r="DG31" s="243"/>
      <c r="DH31" s="243"/>
      <c r="DI31" s="243"/>
      <c r="DJ31" s="243"/>
      <c r="DK31" s="243"/>
      <c r="DL31" s="243"/>
      <c r="DM31" s="243"/>
      <c r="DN31" s="243"/>
      <c r="DO31" s="243"/>
      <c r="DP31" s="243"/>
      <c r="DQ31" s="243"/>
      <c r="DR31" s="243"/>
      <c r="DS31" s="243"/>
      <c r="DT31" s="243"/>
      <c r="DU31" s="243"/>
      <c r="DV31" s="243"/>
      <c r="DW31" s="243"/>
      <c r="DX31" s="243"/>
      <c r="DY31" s="243"/>
      <c r="DZ31" s="243"/>
      <c r="EA31" s="243"/>
      <c r="EB31" s="243"/>
      <c r="EC31" s="243"/>
      <c r="ED31" s="243"/>
      <c r="EE31" s="243"/>
      <c r="EF31" s="243"/>
      <c r="EG31" s="243"/>
      <c r="EH31" s="243"/>
      <c r="EI31" s="243"/>
      <c r="EJ31" s="243"/>
      <c r="EK31" s="243"/>
      <c r="EL31" s="243"/>
      <c r="EM31" s="243"/>
      <c r="EN31" s="243"/>
      <c r="EO31" s="243"/>
      <c r="EP31" s="243"/>
      <c r="EQ31" s="243"/>
      <c r="ER31" s="243"/>
      <c r="ES31" s="243"/>
      <c r="ET31" s="243"/>
      <c r="EU31" s="243"/>
      <c r="EV31" s="243"/>
      <c r="EW31" s="243"/>
      <c r="EX31" s="243"/>
      <c r="EY31" s="243"/>
      <c r="EZ31" s="243"/>
      <c r="FA31" s="243"/>
      <c r="FB31" s="243"/>
      <c r="FC31" s="243"/>
      <c r="FD31" s="243"/>
      <c r="FE31" s="243"/>
      <c r="FF31" s="243"/>
      <c r="FG31" s="243"/>
      <c r="FH31" s="243"/>
      <c r="FI31" s="243"/>
      <c r="FJ31" s="243"/>
      <c r="FK31" s="243"/>
      <c r="FL31" s="243"/>
      <c r="FM31" s="243"/>
      <c r="FN31" s="243"/>
      <c r="FO31" s="243"/>
      <c r="FP31" s="243"/>
      <c r="FQ31" s="243"/>
      <c r="FR31" s="243"/>
      <c r="FS31" s="243"/>
      <c r="FT31" s="243"/>
      <c r="FU31" s="243"/>
      <c r="FV31" s="243"/>
      <c r="FW31" s="243"/>
      <c r="FX31" s="243"/>
      <c r="FY31" s="243"/>
      <c r="FZ31" s="243"/>
      <c r="GA31" s="243"/>
      <c r="GB31" s="243"/>
      <c r="GC31" s="243"/>
      <c r="GD31" s="243"/>
      <c r="GE31" s="243"/>
      <c r="GF31" s="243"/>
      <c r="GG31" s="243"/>
      <c r="GH31" s="243"/>
      <c r="GI31" s="243"/>
      <c r="GJ31" s="243"/>
      <c r="GK31" s="243"/>
      <c r="GL31" s="243"/>
      <c r="GM31" s="243"/>
      <c r="GN31" s="243"/>
      <c r="GO31" s="243"/>
      <c r="GP31" s="243"/>
      <c r="GQ31" s="243"/>
      <c r="GR31" s="243"/>
      <c r="GS31" s="243"/>
      <c r="GT31" s="243"/>
      <c r="GU31" s="243"/>
      <c r="GV31" s="243"/>
      <c r="GW31" s="243"/>
      <c r="GX31" s="243"/>
      <c r="GY31" s="243"/>
      <c r="GZ31" s="243"/>
      <c r="HA31" s="243"/>
      <c r="HB31" s="243"/>
      <c r="HC31" s="243"/>
      <c r="HD31" s="243"/>
      <c r="HE31" s="243"/>
      <c r="HF31" s="243"/>
      <c r="HG31" s="243"/>
      <c r="HH31" s="243"/>
      <c r="HI31" s="243"/>
      <c r="HJ31" s="243"/>
      <c r="HK31" s="243"/>
      <c r="HL31" s="243"/>
      <c r="HM31" s="243"/>
      <c r="HN31" s="243"/>
      <c r="HO31" s="243"/>
      <c r="HP31" s="243"/>
      <c r="HQ31" s="243"/>
      <c r="HR31" s="243"/>
      <c r="HS31" s="243"/>
      <c r="HT31" s="243"/>
      <c r="HU31" s="243"/>
      <c r="HV31" s="243"/>
      <c r="HW31" s="243"/>
      <c r="HX31" s="243"/>
      <c r="HY31" s="243"/>
      <c r="HZ31" s="243"/>
      <c r="IA31" s="243"/>
    </row>
    <row r="32" spans="1:235" s="244" customFormat="1" ht="14.25" customHeight="1" x14ac:dyDescent="0.25">
      <c r="A32" s="241">
        <v>2</v>
      </c>
      <c r="B32" s="242" t="s">
        <v>108</v>
      </c>
      <c r="C32" s="363" t="s">
        <v>314</v>
      </c>
      <c r="D32" s="364" t="s">
        <v>124</v>
      </c>
      <c r="E32" s="365">
        <f>E31</f>
        <v>54.02</v>
      </c>
      <c r="F32" s="63"/>
      <c r="G32" s="64"/>
      <c r="H32" s="65"/>
      <c r="I32" s="64"/>
      <c r="J32" s="64"/>
      <c r="K32" s="66"/>
      <c r="L32" s="67"/>
      <c r="M32" s="64"/>
      <c r="N32" s="64"/>
      <c r="O32" s="64"/>
      <c r="P32" s="68"/>
      <c r="Q32" s="69"/>
      <c r="R32" s="137"/>
      <c r="S32" s="69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43"/>
      <c r="AP32" s="243"/>
      <c r="AQ32" s="243"/>
      <c r="AR32" s="243"/>
      <c r="AS32" s="243"/>
      <c r="AT32" s="243"/>
      <c r="AU32" s="243"/>
      <c r="AV32" s="243"/>
      <c r="AW32" s="243"/>
      <c r="AX32" s="243"/>
      <c r="AY32" s="243"/>
      <c r="AZ32" s="243"/>
      <c r="BA32" s="243"/>
      <c r="BB32" s="243"/>
      <c r="BC32" s="243"/>
      <c r="BD32" s="243"/>
      <c r="BE32" s="243"/>
      <c r="BF32" s="243"/>
      <c r="BG32" s="243"/>
      <c r="BH32" s="243"/>
      <c r="BI32" s="243"/>
      <c r="BJ32" s="243"/>
      <c r="BK32" s="243"/>
      <c r="BL32" s="243"/>
      <c r="BM32" s="243"/>
      <c r="BN32" s="243"/>
      <c r="BO32" s="243"/>
      <c r="BP32" s="243"/>
      <c r="BQ32" s="243"/>
      <c r="BR32" s="243"/>
      <c r="BS32" s="243"/>
      <c r="BT32" s="243"/>
      <c r="BU32" s="243"/>
      <c r="BV32" s="243"/>
      <c r="BW32" s="243"/>
      <c r="BX32" s="243"/>
      <c r="BY32" s="243"/>
      <c r="BZ32" s="243"/>
      <c r="CA32" s="243"/>
      <c r="CB32" s="243"/>
      <c r="CC32" s="243"/>
      <c r="CD32" s="243"/>
      <c r="CE32" s="243"/>
      <c r="CF32" s="243"/>
      <c r="CG32" s="243"/>
      <c r="CH32" s="243"/>
      <c r="CI32" s="243"/>
      <c r="CJ32" s="243"/>
      <c r="CK32" s="243"/>
      <c r="CL32" s="243"/>
      <c r="CM32" s="243"/>
      <c r="CN32" s="243"/>
      <c r="CO32" s="243"/>
      <c r="CP32" s="243"/>
      <c r="CQ32" s="243"/>
      <c r="CR32" s="243"/>
      <c r="CS32" s="243"/>
      <c r="CT32" s="243"/>
      <c r="CU32" s="243"/>
      <c r="CV32" s="243"/>
      <c r="CW32" s="243"/>
      <c r="CX32" s="243"/>
      <c r="CY32" s="243"/>
      <c r="CZ32" s="243"/>
      <c r="DA32" s="243"/>
      <c r="DB32" s="243"/>
      <c r="DC32" s="243"/>
      <c r="DD32" s="243"/>
      <c r="DE32" s="243"/>
      <c r="DF32" s="243"/>
      <c r="DG32" s="243"/>
      <c r="DH32" s="243"/>
      <c r="DI32" s="243"/>
      <c r="DJ32" s="243"/>
      <c r="DK32" s="243"/>
      <c r="DL32" s="243"/>
      <c r="DM32" s="243"/>
      <c r="DN32" s="243"/>
      <c r="DO32" s="243"/>
      <c r="DP32" s="243"/>
      <c r="DQ32" s="243"/>
      <c r="DR32" s="243"/>
      <c r="DS32" s="243"/>
      <c r="DT32" s="243"/>
      <c r="DU32" s="243"/>
      <c r="DV32" s="243"/>
      <c r="DW32" s="243"/>
      <c r="DX32" s="243"/>
      <c r="DY32" s="243"/>
      <c r="DZ32" s="243"/>
      <c r="EA32" s="243"/>
      <c r="EB32" s="243"/>
      <c r="EC32" s="243"/>
      <c r="ED32" s="243"/>
      <c r="EE32" s="243"/>
      <c r="EF32" s="243"/>
      <c r="EG32" s="243"/>
      <c r="EH32" s="243"/>
      <c r="EI32" s="243"/>
      <c r="EJ32" s="243"/>
      <c r="EK32" s="243"/>
      <c r="EL32" s="243"/>
      <c r="EM32" s="243"/>
      <c r="EN32" s="243"/>
      <c r="EO32" s="243"/>
      <c r="EP32" s="243"/>
      <c r="EQ32" s="243"/>
      <c r="ER32" s="243"/>
      <c r="ES32" s="243"/>
      <c r="ET32" s="243"/>
      <c r="EU32" s="243"/>
      <c r="EV32" s="243"/>
      <c r="EW32" s="243"/>
      <c r="EX32" s="243"/>
      <c r="EY32" s="243"/>
      <c r="EZ32" s="243"/>
      <c r="FA32" s="243"/>
      <c r="FB32" s="243"/>
      <c r="FC32" s="243"/>
      <c r="FD32" s="243"/>
      <c r="FE32" s="243"/>
      <c r="FF32" s="243"/>
      <c r="FG32" s="243"/>
      <c r="FH32" s="243"/>
      <c r="FI32" s="243"/>
      <c r="FJ32" s="243"/>
      <c r="FK32" s="243"/>
      <c r="FL32" s="243"/>
      <c r="FM32" s="243"/>
      <c r="FN32" s="243"/>
      <c r="FO32" s="243"/>
      <c r="FP32" s="243"/>
      <c r="FQ32" s="243"/>
      <c r="FR32" s="243"/>
      <c r="FS32" s="243"/>
      <c r="FT32" s="243"/>
      <c r="FU32" s="243"/>
      <c r="FV32" s="243"/>
      <c r="FW32" s="243"/>
      <c r="FX32" s="243"/>
      <c r="FY32" s="243"/>
      <c r="FZ32" s="243"/>
      <c r="GA32" s="243"/>
      <c r="GB32" s="243"/>
      <c r="GC32" s="243"/>
      <c r="GD32" s="243"/>
      <c r="GE32" s="243"/>
      <c r="GF32" s="243"/>
      <c r="GG32" s="243"/>
      <c r="GH32" s="243"/>
      <c r="GI32" s="243"/>
      <c r="GJ32" s="243"/>
      <c r="GK32" s="243"/>
      <c r="GL32" s="243"/>
      <c r="GM32" s="243"/>
      <c r="GN32" s="243"/>
      <c r="GO32" s="243"/>
      <c r="GP32" s="243"/>
      <c r="GQ32" s="243"/>
      <c r="GR32" s="243"/>
      <c r="GS32" s="243"/>
      <c r="GT32" s="243"/>
      <c r="GU32" s="243"/>
      <c r="GV32" s="243"/>
      <c r="GW32" s="243"/>
      <c r="GX32" s="243"/>
      <c r="GY32" s="243"/>
      <c r="GZ32" s="243"/>
      <c r="HA32" s="243"/>
      <c r="HB32" s="243"/>
      <c r="HC32" s="243"/>
      <c r="HD32" s="243"/>
      <c r="HE32" s="243"/>
      <c r="HF32" s="243"/>
      <c r="HG32" s="243"/>
      <c r="HH32" s="243"/>
      <c r="HI32" s="243"/>
      <c r="HJ32" s="243"/>
      <c r="HK32" s="243"/>
      <c r="HL32" s="243"/>
      <c r="HM32" s="243"/>
      <c r="HN32" s="243"/>
      <c r="HO32" s="243"/>
      <c r="HP32" s="243"/>
      <c r="HQ32" s="243"/>
      <c r="HR32" s="243"/>
      <c r="HS32" s="243"/>
      <c r="HT32" s="243"/>
      <c r="HU32" s="243"/>
      <c r="HV32" s="243"/>
      <c r="HW32" s="243"/>
      <c r="HX32" s="243"/>
      <c r="HY32" s="243"/>
      <c r="HZ32" s="243"/>
      <c r="IA32" s="243"/>
    </row>
    <row r="33" spans="1:235" s="244" customFormat="1" ht="14.25" customHeight="1" x14ac:dyDescent="0.25">
      <c r="A33" s="241">
        <v>3</v>
      </c>
      <c r="B33" s="242"/>
      <c r="C33" s="366" t="s">
        <v>679</v>
      </c>
      <c r="D33" s="364" t="s">
        <v>124</v>
      </c>
      <c r="E33" s="365">
        <f>E32*1.15</f>
        <v>62.122999999999998</v>
      </c>
      <c r="F33" s="63"/>
      <c r="G33" s="64"/>
      <c r="H33" s="65"/>
      <c r="I33" s="64"/>
      <c r="J33" s="64"/>
      <c r="K33" s="66"/>
      <c r="L33" s="67"/>
      <c r="M33" s="64"/>
      <c r="N33" s="64"/>
      <c r="O33" s="64"/>
      <c r="P33" s="68"/>
      <c r="Q33" s="69"/>
      <c r="R33" s="137"/>
      <c r="S33" s="69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3"/>
      <c r="AI33" s="243"/>
      <c r="AJ33" s="243"/>
      <c r="AK33" s="243"/>
      <c r="AL33" s="243"/>
      <c r="AM33" s="243"/>
      <c r="AN33" s="243"/>
      <c r="AO33" s="243"/>
      <c r="AP33" s="243"/>
      <c r="AQ33" s="243"/>
      <c r="AR33" s="243"/>
      <c r="AS33" s="243"/>
      <c r="AT33" s="243"/>
      <c r="AU33" s="243"/>
      <c r="AV33" s="243"/>
      <c r="AW33" s="243"/>
      <c r="AX33" s="243"/>
      <c r="AY33" s="243"/>
      <c r="AZ33" s="243"/>
      <c r="BA33" s="243"/>
      <c r="BB33" s="243"/>
      <c r="BC33" s="243"/>
      <c r="BD33" s="243"/>
      <c r="BE33" s="243"/>
      <c r="BF33" s="243"/>
      <c r="BG33" s="243"/>
      <c r="BH33" s="243"/>
      <c r="BI33" s="243"/>
      <c r="BJ33" s="243"/>
      <c r="BK33" s="243"/>
      <c r="BL33" s="243"/>
      <c r="BM33" s="243"/>
      <c r="BN33" s="243"/>
      <c r="BO33" s="243"/>
      <c r="BP33" s="243"/>
      <c r="BQ33" s="243"/>
      <c r="BR33" s="243"/>
      <c r="BS33" s="243"/>
      <c r="BT33" s="243"/>
      <c r="BU33" s="243"/>
      <c r="BV33" s="243"/>
      <c r="BW33" s="243"/>
      <c r="BX33" s="243"/>
      <c r="BY33" s="243"/>
      <c r="BZ33" s="243"/>
      <c r="CA33" s="243"/>
      <c r="CB33" s="243"/>
      <c r="CC33" s="243"/>
      <c r="CD33" s="243"/>
      <c r="CE33" s="243"/>
      <c r="CF33" s="243"/>
      <c r="CG33" s="243"/>
      <c r="CH33" s="243"/>
      <c r="CI33" s="243"/>
      <c r="CJ33" s="243"/>
      <c r="CK33" s="243"/>
      <c r="CL33" s="243"/>
      <c r="CM33" s="243"/>
      <c r="CN33" s="243"/>
      <c r="CO33" s="243"/>
      <c r="CP33" s="243"/>
      <c r="CQ33" s="243"/>
      <c r="CR33" s="243"/>
      <c r="CS33" s="243"/>
      <c r="CT33" s="243"/>
      <c r="CU33" s="243"/>
      <c r="CV33" s="243"/>
      <c r="CW33" s="243"/>
      <c r="CX33" s="243"/>
      <c r="CY33" s="243"/>
      <c r="CZ33" s="243"/>
      <c r="DA33" s="243"/>
      <c r="DB33" s="243"/>
      <c r="DC33" s="243"/>
      <c r="DD33" s="243"/>
      <c r="DE33" s="243"/>
      <c r="DF33" s="243"/>
      <c r="DG33" s="243"/>
      <c r="DH33" s="243"/>
      <c r="DI33" s="243"/>
      <c r="DJ33" s="243"/>
      <c r="DK33" s="243"/>
      <c r="DL33" s="243"/>
      <c r="DM33" s="243"/>
      <c r="DN33" s="243"/>
      <c r="DO33" s="243"/>
      <c r="DP33" s="243"/>
      <c r="DQ33" s="243"/>
      <c r="DR33" s="243"/>
      <c r="DS33" s="243"/>
      <c r="DT33" s="243"/>
      <c r="DU33" s="243"/>
      <c r="DV33" s="243"/>
      <c r="DW33" s="243"/>
      <c r="DX33" s="243"/>
      <c r="DY33" s="243"/>
      <c r="DZ33" s="243"/>
      <c r="EA33" s="243"/>
      <c r="EB33" s="243"/>
      <c r="EC33" s="243"/>
      <c r="ED33" s="243"/>
      <c r="EE33" s="243"/>
      <c r="EF33" s="243"/>
      <c r="EG33" s="243"/>
      <c r="EH33" s="243"/>
      <c r="EI33" s="243"/>
      <c r="EJ33" s="243"/>
      <c r="EK33" s="243"/>
      <c r="EL33" s="243"/>
      <c r="EM33" s="243"/>
      <c r="EN33" s="243"/>
      <c r="EO33" s="243"/>
      <c r="EP33" s="243"/>
      <c r="EQ33" s="243"/>
      <c r="ER33" s="243"/>
      <c r="ES33" s="243"/>
      <c r="ET33" s="243"/>
      <c r="EU33" s="243"/>
      <c r="EV33" s="243"/>
      <c r="EW33" s="243"/>
      <c r="EX33" s="243"/>
      <c r="EY33" s="243"/>
      <c r="EZ33" s="243"/>
      <c r="FA33" s="243"/>
      <c r="FB33" s="243"/>
      <c r="FC33" s="243"/>
      <c r="FD33" s="243"/>
      <c r="FE33" s="243"/>
      <c r="FF33" s="243"/>
      <c r="FG33" s="243"/>
      <c r="FH33" s="243"/>
      <c r="FI33" s="243"/>
      <c r="FJ33" s="243"/>
      <c r="FK33" s="243"/>
      <c r="FL33" s="243"/>
      <c r="FM33" s="243"/>
      <c r="FN33" s="243"/>
      <c r="FO33" s="243"/>
      <c r="FP33" s="243"/>
      <c r="FQ33" s="243"/>
      <c r="FR33" s="243"/>
      <c r="FS33" s="243"/>
      <c r="FT33" s="243"/>
      <c r="FU33" s="243"/>
      <c r="FV33" s="243"/>
      <c r="FW33" s="243"/>
      <c r="FX33" s="243"/>
      <c r="FY33" s="243"/>
      <c r="FZ33" s="243"/>
      <c r="GA33" s="243"/>
      <c r="GB33" s="243"/>
      <c r="GC33" s="243"/>
      <c r="GD33" s="243"/>
      <c r="GE33" s="243"/>
      <c r="GF33" s="243"/>
      <c r="GG33" s="243"/>
      <c r="GH33" s="243"/>
      <c r="GI33" s="243"/>
      <c r="GJ33" s="243"/>
      <c r="GK33" s="243"/>
      <c r="GL33" s="243"/>
      <c r="GM33" s="243"/>
      <c r="GN33" s="243"/>
      <c r="GO33" s="243"/>
      <c r="GP33" s="243"/>
      <c r="GQ33" s="243"/>
      <c r="GR33" s="243"/>
      <c r="GS33" s="243"/>
      <c r="GT33" s="243"/>
      <c r="GU33" s="243"/>
      <c r="GV33" s="243"/>
      <c r="GW33" s="243"/>
      <c r="GX33" s="243"/>
      <c r="GY33" s="243"/>
      <c r="GZ33" s="243"/>
      <c r="HA33" s="243"/>
      <c r="HB33" s="243"/>
      <c r="HC33" s="243"/>
      <c r="HD33" s="243"/>
      <c r="HE33" s="243"/>
      <c r="HF33" s="243"/>
      <c r="HG33" s="243"/>
      <c r="HH33" s="243"/>
      <c r="HI33" s="243"/>
      <c r="HJ33" s="243"/>
      <c r="HK33" s="243"/>
      <c r="HL33" s="243"/>
      <c r="HM33" s="243"/>
      <c r="HN33" s="243"/>
      <c r="HO33" s="243"/>
      <c r="HP33" s="243"/>
      <c r="HQ33" s="243"/>
      <c r="HR33" s="243"/>
      <c r="HS33" s="243"/>
      <c r="HT33" s="243"/>
      <c r="HU33" s="243"/>
      <c r="HV33" s="243"/>
      <c r="HW33" s="243"/>
      <c r="HX33" s="243"/>
      <c r="HY33" s="243"/>
      <c r="HZ33" s="243"/>
      <c r="IA33" s="243"/>
    </row>
    <row r="34" spans="1:235" s="244" customFormat="1" ht="14.25" customHeight="1" x14ac:dyDescent="0.25">
      <c r="A34" s="241">
        <v>4</v>
      </c>
      <c r="B34" s="242"/>
      <c r="C34" s="366" t="s">
        <v>191</v>
      </c>
      <c r="D34" s="364" t="s">
        <v>180</v>
      </c>
      <c r="E34" s="365">
        <f>E32*5*1.1</f>
        <v>297.11000000000007</v>
      </c>
      <c r="F34" s="63"/>
      <c r="G34" s="64"/>
      <c r="H34" s="65"/>
      <c r="I34" s="64"/>
      <c r="J34" s="64"/>
      <c r="K34" s="66"/>
      <c r="L34" s="67"/>
      <c r="M34" s="64"/>
      <c r="N34" s="64"/>
      <c r="O34" s="64"/>
      <c r="P34" s="68"/>
      <c r="Q34" s="69"/>
      <c r="R34" s="137"/>
      <c r="S34" s="69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243"/>
      <c r="AS34" s="243"/>
      <c r="AT34" s="243"/>
      <c r="AU34" s="243"/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3"/>
      <c r="BS34" s="243"/>
      <c r="BT34" s="243"/>
      <c r="BU34" s="243"/>
      <c r="BV34" s="243"/>
      <c r="BW34" s="243"/>
      <c r="BX34" s="243"/>
      <c r="BY34" s="243"/>
      <c r="BZ34" s="243"/>
      <c r="CA34" s="243"/>
      <c r="CB34" s="243"/>
      <c r="CC34" s="243"/>
      <c r="CD34" s="243"/>
      <c r="CE34" s="243"/>
      <c r="CF34" s="243"/>
      <c r="CG34" s="243"/>
      <c r="CH34" s="243"/>
      <c r="CI34" s="243"/>
      <c r="CJ34" s="243"/>
      <c r="CK34" s="243"/>
      <c r="CL34" s="243"/>
      <c r="CM34" s="243"/>
      <c r="CN34" s="243"/>
      <c r="CO34" s="243"/>
      <c r="CP34" s="243"/>
      <c r="CQ34" s="243"/>
      <c r="CR34" s="243"/>
      <c r="CS34" s="243"/>
      <c r="CT34" s="243"/>
      <c r="CU34" s="243"/>
      <c r="CV34" s="243"/>
      <c r="CW34" s="243"/>
      <c r="CX34" s="243"/>
      <c r="CY34" s="243"/>
      <c r="CZ34" s="243"/>
      <c r="DA34" s="243"/>
      <c r="DB34" s="243"/>
      <c r="DC34" s="243"/>
      <c r="DD34" s="243"/>
      <c r="DE34" s="243"/>
      <c r="DF34" s="243"/>
      <c r="DG34" s="243"/>
      <c r="DH34" s="243"/>
      <c r="DI34" s="243"/>
      <c r="DJ34" s="243"/>
      <c r="DK34" s="243"/>
      <c r="DL34" s="243"/>
      <c r="DM34" s="243"/>
      <c r="DN34" s="243"/>
      <c r="DO34" s="243"/>
      <c r="DP34" s="243"/>
      <c r="DQ34" s="243"/>
      <c r="DR34" s="243"/>
      <c r="DS34" s="243"/>
      <c r="DT34" s="243"/>
      <c r="DU34" s="243"/>
      <c r="DV34" s="243"/>
      <c r="DW34" s="243"/>
      <c r="DX34" s="243"/>
      <c r="DY34" s="243"/>
      <c r="DZ34" s="243"/>
      <c r="EA34" s="243"/>
      <c r="EB34" s="243"/>
      <c r="EC34" s="243"/>
      <c r="ED34" s="243"/>
      <c r="EE34" s="243"/>
      <c r="EF34" s="243"/>
      <c r="EG34" s="243"/>
      <c r="EH34" s="243"/>
      <c r="EI34" s="243"/>
      <c r="EJ34" s="243"/>
      <c r="EK34" s="243"/>
      <c r="EL34" s="243"/>
      <c r="EM34" s="243"/>
      <c r="EN34" s="243"/>
      <c r="EO34" s="243"/>
      <c r="EP34" s="243"/>
      <c r="EQ34" s="243"/>
      <c r="ER34" s="243"/>
      <c r="ES34" s="243"/>
      <c r="ET34" s="243"/>
      <c r="EU34" s="243"/>
      <c r="EV34" s="243"/>
      <c r="EW34" s="243"/>
      <c r="EX34" s="243"/>
      <c r="EY34" s="243"/>
      <c r="EZ34" s="243"/>
      <c r="FA34" s="243"/>
      <c r="FB34" s="243"/>
      <c r="FC34" s="243"/>
      <c r="FD34" s="243"/>
      <c r="FE34" s="243"/>
      <c r="FF34" s="243"/>
      <c r="FG34" s="243"/>
      <c r="FH34" s="243"/>
      <c r="FI34" s="243"/>
      <c r="FJ34" s="243"/>
      <c r="FK34" s="243"/>
      <c r="FL34" s="243"/>
      <c r="FM34" s="243"/>
      <c r="FN34" s="243"/>
      <c r="FO34" s="243"/>
      <c r="FP34" s="243"/>
      <c r="FQ34" s="243"/>
      <c r="FR34" s="243"/>
      <c r="FS34" s="243"/>
      <c r="FT34" s="243"/>
      <c r="FU34" s="243"/>
      <c r="FV34" s="243"/>
      <c r="FW34" s="243"/>
      <c r="FX34" s="243"/>
      <c r="FY34" s="243"/>
      <c r="FZ34" s="243"/>
      <c r="GA34" s="243"/>
      <c r="GB34" s="243"/>
      <c r="GC34" s="243"/>
      <c r="GD34" s="243"/>
      <c r="GE34" s="243"/>
      <c r="GF34" s="243"/>
      <c r="GG34" s="243"/>
      <c r="GH34" s="243"/>
      <c r="GI34" s="243"/>
      <c r="GJ34" s="243"/>
      <c r="GK34" s="243"/>
      <c r="GL34" s="243"/>
      <c r="GM34" s="243"/>
      <c r="GN34" s="243"/>
      <c r="GO34" s="243"/>
      <c r="GP34" s="243"/>
      <c r="GQ34" s="243"/>
      <c r="GR34" s="243"/>
      <c r="GS34" s="243"/>
      <c r="GT34" s="243"/>
      <c r="GU34" s="243"/>
      <c r="GV34" s="243"/>
      <c r="GW34" s="243"/>
      <c r="GX34" s="243"/>
      <c r="GY34" s="243"/>
      <c r="GZ34" s="243"/>
      <c r="HA34" s="243"/>
      <c r="HB34" s="243"/>
      <c r="HC34" s="243"/>
      <c r="HD34" s="243"/>
      <c r="HE34" s="243"/>
      <c r="HF34" s="243"/>
      <c r="HG34" s="243"/>
      <c r="HH34" s="243"/>
      <c r="HI34" s="243"/>
      <c r="HJ34" s="243"/>
      <c r="HK34" s="243"/>
      <c r="HL34" s="243"/>
      <c r="HM34" s="243"/>
      <c r="HN34" s="243"/>
      <c r="HO34" s="243"/>
      <c r="HP34" s="243"/>
      <c r="HQ34" s="243"/>
      <c r="HR34" s="243"/>
      <c r="HS34" s="243"/>
      <c r="HT34" s="243"/>
      <c r="HU34" s="243"/>
      <c r="HV34" s="243"/>
      <c r="HW34" s="243"/>
      <c r="HX34" s="243"/>
      <c r="HY34" s="243"/>
      <c r="HZ34" s="243"/>
      <c r="IA34" s="243"/>
    </row>
    <row r="35" spans="1:235" s="244" customFormat="1" ht="14.25" customHeight="1" x14ac:dyDescent="0.25">
      <c r="A35" s="241">
        <v>5</v>
      </c>
      <c r="B35" s="242"/>
      <c r="C35" s="366" t="s">
        <v>194</v>
      </c>
      <c r="D35" s="364" t="s">
        <v>124</v>
      </c>
      <c r="E35" s="365">
        <f>E32</f>
        <v>54.02</v>
      </c>
      <c r="F35" s="63"/>
      <c r="G35" s="64"/>
      <c r="H35" s="65"/>
      <c r="I35" s="64"/>
      <c r="J35" s="64"/>
      <c r="K35" s="66"/>
      <c r="L35" s="67"/>
      <c r="M35" s="64"/>
      <c r="N35" s="64"/>
      <c r="O35" s="64"/>
      <c r="P35" s="68"/>
      <c r="Q35" s="69"/>
      <c r="R35" s="137"/>
      <c r="S35" s="69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43"/>
      <c r="AM35" s="243"/>
      <c r="AN35" s="243"/>
      <c r="AO35" s="243"/>
      <c r="AP35" s="243"/>
      <c r="AQ35" s="243"/>
      <c r="AR35" s="243"/>
      <c r="AS35" s="243"/>
      <c r="AT35" s="243"/>
      <c r="AU35" s="243"/>
      <c r="AV35" s="243"/>
      <c r="AW35" s="243"/>
      <c r="AX35" s="243"/>
      <c r="AY35" s="243"/>
      <c r="AZ35" s="243"/>
      <c r="BA35" s="243"/>
      <c r="BB35" s="243"/>
      <c r="BC35" s="243"/>
      <c r="BD35" s="243"/>
      <c r="BE35" s="243"/>
      <c r="BF35" s="243"/>
      <c r="BG35" s="243"/>
      <c r="BH35" s="243"/>
      <c r="BI35" s="243"/>
      <c r="BJ35" s="243"/>
      <c r="BK35" s="243"/>
      <c r="BL35" s="243"/>
      <c r="BM35" s="243"/>
      <c r="BN35" s="243"/>
      <c r="BO35" s="243"/>
      <c r="BP35" s="243"/>
      <c r="BQ35" s="243"/>
      <c r="BR35" s="243"/>
      <c r="BS35" s="243"/>
      <c r="BT35" s="243"/>
      <c r="BU35" s="243"/>
      <c r="BV35" s="243"/>
      <c r="BW35" s="243"/>
      <c r="BX35" s="243"/>
      <c r="BY35" s="243"/>
      <c r="BZ35" s="243"/>
      <c r="CA35" s="243"/>
      <c r="CB35" s="243"/>
      <c r="CC35" s="243"/>
      <c r="CD35" s="243"/>
      <c r="CE35" s="243"/>
      <c r="CF35" s="243"/>
      <c r="CG35" s="243"/>
      <c r="CH35" s="243"/>
      <c r="CI35" s="243"/>
      <c r="CJ35" s="243"/>
      <c r="CK35" s="243"/>
      <c r="CL35" s="243"/>
      <c r="CM35" s="243"/>
      <c r="CN35" s="243"/>
      <c r="CO35" s="243"/>
      <c r="CP35" s="243"/>
      <c r="CQ35" s="243"/>
      <c r="CR35" s="243"/>
      <c r="CS35" s="243"/>
      <c r="CT35" s="243"/>
      <c r="CU35" s="243"/>
      <c r="CV35" s="243"/>
      <c r="CW35" s="243"/>
      <c r="CX35" s="243"/>
      <c r="CY35" s="243"/>
      <c r="CZ35" s="243"/>
      <c r="DA35" s="243"/>
      <c r="DB35" s="243"/>
      <c r="DC35" s="243"/>
      <c r="DD35" s="243"/>
      <c r="DE35" s="243"/>
      <c r="DF35" s="243"/>
      <c r="DG35" s="243"/>
      <c r="DH35" s="243"/>
      <c r="DI35" s="243"/>
      <c r="DJ35" s="243"/>
      <c r="DK35" s="243"/>
      <c r="DL35" s="243"/>
      <c r="DM35" s="243"/>
      <c r="DN35" s="243"/>
      <c r="DO35" s="243"/>
      <c r="DP35" s="243"/>
      <c r="DQ35" s="243"/>
      <c r="DR35" s="243"/>
      <c r="DS35" s="243"/>
      <c r="DT35" s="243"/>
      <c r="DU35" s="243"/>
      <c r="DV35" s="243"/>
      <c r="DW35" s="243"/>
      <c r="DX35" s="243"/>
      <c r="DY35" s="243"/>
      <c r="DZ35" s="243"/>
      <c r="EA35" s="243"/>
      <c r="EB35" s="243"/>
      <c r="EC35" s="243"/>
      <c r="ED35" s="243"/>
      <c r="EE35" s="243"/>
      <c r="EF35" s="243"/>
      <c r="EG35" s="243"/>
      <c r="EH35" s="243"/>
      <c r="EI35" s="243"/>
      <c r="EJ35" s="243"/>
      <c r="EK35" s="243"/>
      <c r="EL35" s="243"/>
      <c r="EM35" s="243"/>
      <c r="EN35" s="243"/>
      <c r="EO35" s="243"/>
      <c r="EP35" s="243"/>
      <c r="EQ35" s="243"/>
      <c r="ER35" s="243"/>
      <c r="ES35" s="243"/>
      <c r="ET35" s="243"/>
      <c r="EU35" s="243"/>
      <c r="EV35" s="243"/>
      <c r="EW35" s="243"/>
      <c r="EX35" s="243"/>
      <c r="EY35" s="243"/>
      <c r="EZ35" s="243"/>
      <c r="FA35" s="243"/>
      <c r="FB35" s="243"/>
      <c r="FC35" s="243"/>
      <c r="FD35" s="243"/>
      <c r="FE35" s="243"/>
      <c r="FF35" s="243"/>
      <c r="FG35" s="243"/>
      <c r="FH35" s="243"/>
      <c r="FI35" s="243"/>
      <c r="FJ35" s="243"/>
      <c r="FK35" s="243"/>
      <c r="FL35" s="243"/>
      <c r="FM35" s="243"/>
      <c r="FN35" s="243"/>
      <c r="FO35" s="243"/>
      <c r="FP35" s="243"/>
      <c r="FQ35" s="243"/>
      <c r="FR35" s="243"/>
      <c r="FS35" s="243"/>
      <c r="FT35" s="243"/>
      <c r="FU35" s="243"/>
      <c r="FV35" s="243"/>
      <c r="FW35" s="243"/>
      <c r="FX35" s="243"/>
      <c r="FY35" s="243"/>
      <c r="FZ35" s="243"/>
      <c r="GA35" s="243"/>
      <c r="GB35" s="243"/>
      <c r="GC35" s="243"/>
      <c r="GD35" s="243"/>
      <c r="GE35" s="243"/>
      <c r="GF35" s="243"/>
      <c r="GG35" s="243"/>
      <c r="GH35" s="243"/>
      <c r="GI35" s="243"/>
      <c r="GJ35" s="243"/>
      <c r="GK35" s="243"/>
      <c r="GL35" s="243"/>
      <c r="GM35" s="243"/>
      <c r="GN35" s="243"/>
      <c r="GO35" s="243"/>
      <c r="GP35" s="243"/>
      <c r="GQ35" s="243"/>
      <c r="GR35" s="243"/>
      <c r="GS35" s="243"/>
      <c r="GT35" s="243"/>
      <c r="GU35" s="243"/>
      <c r="GV35" s="243"/>
      <c r="GW35" s="243"/>
      <c r="GX35" s="243"/>
      <c r="GY35" s="243"/>
      <c r="GZ35" s="243"/>
      <c r="HA35" s="243"/>
      <c r="HB35" s="243"/>
      <c r="HC35" s="243"/>
      <c r="HD35" s="243"/>
      <c r="HE35" s="243"/>
      <c r="HF35" s="243"/>
      <c r="HG35" s="243"/>
      <c r="HH35" s="243"/>
      <c r="HI35" s="243"/>
      <c r="HJ35" s="243"/>
      <c r="HK35" s="243"/>
      <c r="HL35" s="243"/>
      <c r="HM35" s="243"/>
      <c r="HN35" s="243"/>
      <c r="HO35" s="243"/>
      <c r="HP35" s="243"/>
      <c r="HQ35" s="243"/>
      <c r="HR35" s="243"/>
      <c r="HS35" s="243"/>
      <c r="HT35" s="243"/>
      <c r="HU35" s="243"/>
      <c r="HV35" s="243"/>
      <c r="HW35" s="243"/>
      <c r="HX35" s="243"/>
      <c r="HY35" s="243"/>
      <c r="HZ35" s="243"/>
      <c r="IA35" s="243"/>
    </row>
    <row r="36" spans="1:235" s="244" customFormat="1" ht="14.25" customHeight="1" x14ac:dyDescent="0.25">
      <c r="A36" s="241"/>
      <c r="B36" s="242"/>
      <c r="C36" s="367" t="s">
        <v>611</v>
      </c>
      <c r="D36" s="364"/>
      <c r="E36" s="365"/>
      <c r="F36" s="63"/>
      <c r="G36" s="64"/>
      <c r="H36" s="65"/>
      <c r="I36" s="64"/>
      <c r="J36" s="64"/>
      <c r="K36" s="66"/>
      <c r="L36" s="67"/>
      <c r="M36" s="64"/>
      <c r="N36" s="64"/>
      <c r="O36" s="64"/>
      <c r="P36" s="68"/>
      <c r="Q36" s="69"/>
      <c r="R36" s="137"/>
      <c r="S36" s="69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43"/>
      <c r="AM36" s="243"/>
      <c r="AN36" s="243"/>
      <c r="AO36" s="243"/>
      <c r="AP36" s="243"/>
      <c r="AQ36" s="243"/>
      <c r="AR36" s="243"/>
      <c r="AS36" s="243"/>
      <c r="AT36" s="243"/>
      <c r="AU36" s="243"/>
      <c r="AV36" s="243"/>
      <c r="AW36" s="243"/>
      <c r="AX36" s="243"/>
      <c r="AY36" s="243"/>
      <c r="AZ36" s="243"/>
      <c r="BA36" s="243"/>
      <c r="BB36" s="243"/>
      <c r="BC36" s="243"/>
      <c r="BD36" s="243"/>
      <c r="BE36" s="243"/>
      <c r="BF36" s="243"/>
      <c r="BG36" s="243"/>
      <c r="BH36" s="243"/>
      <c r="BI36" s="243"/>
      <c r="BJ36" s="243"/>
      <c r="BK36" s="243"/>
      <c r="BL36" s="243"/>
      <c r="BM36" s="243"/>
      <c r="BN36" s="243"/>
      <c r="BO36" s="243"/>
      <c r="BP36" s="243"/>
      <c r="BQ36" s="243"/>
      <c r="BR36" s="243"/>
      <c r="BS36" s="243"/>
      <c r="BT36" s="243"/>
      <c r="BU36" s="243"/>
      <c r="BV36" s="243"/>
      <c r="BW36" s="243"/>
      <c r="BX36" s="243"/>
      <c r="BY36" s="243"/>
      <c r="BZ36" s="243"/>
      <c r="CA36" s="243"/>
      <c r="CB36" s="243"/>
      <c r="CC36" s="243"/>
      <c r="CD36" s="243"/>
      <c r="CE36" s="243"/>
      <c r="CF36" s="243"/>
      <c r="CG36" s="243"/>
      <c r="CH36" s="243"/>
      <c r="CI36" s="243"/>
      <c r="CJ36" s="243"/>
      <c r="CK36" s="243"/>
      <c r="CL36" s="243"/>
      <c r="CM36" s="243"/>
      <c r="CN36" s="243"/>
      <c r="CO36" s="243"/>
      <c r="CP36" s="243"/>
      <c r="CQ36" s="243"/>
      <c r="CR36" s="243"/>
      <c r="CS36" s="243"/>
      <c r="CT36" s="243"/>
      <c r="CU36" s="243"/>
      <c r="CV36" s="243"/>
      <c r="CW36" s="243"/>
      <c r="CX36" s="243"/>
      <c r="CY36" s="243"/>
      <c r="CZ36" s="243"/>
      <c r="DA36" s="243"/>
      <c r="DB36" s="243"/>
      <c r="DC36" s="243"/>
      <c r="DD36" s="243"/>
      <c r="DE36" s="243"/>
      <c r="DF36" s="243"/>
      <c r="DG36" s="243"/>
      <c r="DH36" s="243"/>
      <c r="DI36" s="243"/>
      <c r="DJ36" s="243"/>
      <c r="DK36" s="243"/>
      <c r="DL36" s="243"/>
      <c r="DM36" s="243"/>
      <c r="DN36" s="243"/>
      <c r="DO36" s="243"/>
      <c r="DP36" s="243"/>
      <c r="DQ36" s="243"/>
      <c r="DR36" s="243"/>
      <c r="DS36" s="243"/>
      <c r="DT36" s="243"/>
      <c r="DU36" s="243"/>
      <c r="DV36" s="243"/>
      <c r="DW36" s="243"/>
      <c r="DX36" s="243"/>
      <c r="DY36" s="243"/>
      <c r="DZ36" s="243"/>
      <c r="EA36" s="243"/>
      <c r="EB36" s="243"/>
      <c r="EC36" s="243"/>
      <c r="ED36" s="243"/>
      <c r="EE36" s="243"/>
      <c r="EF36" s="243"/>
      <c r="EG36" s="243"/>
      <c r="EH36" s="243"/>
      <c r="EI36" s="243"/>
      <c r="EJ36" s="243"/>
      <c r="EK36" s="243"/>
      <c r="EL36" s="243"/>
      <c r="EM36" s="243"/>
      <c r="EN36" s="243"/>
      <c r="EO36" s="243"/>
      <c r="EP36" s="243"/>
      <c r="EQ36" s="243"/>
      <c r="ER36" s="243"/>
      <c r="ES36" s="243"/>
      <c r="ET36" s="243"/>
      <c r="EU36" s="243"/>
      <c r="EV36" s="243"/>
      <c r="EW36" s="243"/>
      <c r="EX36" s="243"/>
      <c r="EY36" s="243"/>
      <c r="EZ36" s="243"/>
      <c r="FA36" s="243"/>
      <c r="FB36" s="243"/>
      <c r="FC36" s="243"/>
      <c r="FD36" s="243"/>
      <c r="FE36" s="243"/>
      <c r="FF36" s="243"/>
      <c r="FG36" s="243"/>
      <c r="FH36" s="243"/>
      <c r="FI36" s="243"/>
      <c r="FJ36" s="243"/>
      <c r="FK36" s="243"/>
      <c r="FL36" s="243"/>
      <c r="FM36" s="243"/>
      <c r="FN36" s="243"/>
      <c r="FO36" s="243"/>
      <c r="FP36" s="243"/>
      <c r="FQ36" s="243"/>
      <c r="FR36" s="243"/>
      <c r="FS36" s="243"/>
      <c r="FT36" s="243"/>
      <c r="FU36" s="243"/>
      <c r="FV36" s="243"/>
      <c r="FW36" s="243"/>
      <c r="FX36" s="243"/>
      <c r="FY36" s="243"/>
      <c r="FZ36" s="243"/>
      <c r="GA36" s="243"/>
      <c r="GB36" s="243"/>
      <c r="GC36" s="243"/>
      <c r="GD36" s="243"/>
      <c r="GE36" s="243"/>
      <c r="GF36" s="243"/>
      <c r="GG36" s="243"/>
      <c r="GH36" s="243"/>
      <c r="GI36" s="243"/>
      <c r="GJ36" s="243"/>
      <c r="GK36" s="243"/>
      <c r="GL36" s="243"/>
      <c r="GM36" s="243"/>
      <c r="GN36" s="243"/>
      <c r="GO36" s="243"/>
      <c r="GP36" s="243"/>
      <c r="GQ36" s="243"/>
      <c r="GR36" s="243"/>
      <c r="GS36" s="243"/>
      <c r="GT36" s="243"/>
      <c r="GU36" s="243"/>
      <c r="GV36" s="243"/>
      <c r="GW36" s="243"/>
      <c r="GX36" s="243"/>
      <c r="GY36" s="243"/>
      <c r="GZ36" s="243"/>
      <c r="HA36" s="243"/>
      <c r="HB36" s="243"/>
      <c r="HC36" s="243"/>
      <c r="HD36" s="243"/>
      <c r="HE36" s="243"/>
      <c r="HF36" s="243"/>
      <c r="HG36" s="243"/>
      <c r="HH36" s="243"/>
      <c r="HI36" s="243"/>
      <c r="HJ36" s="243"/>
      <c r="HK36" s="243"/>
      <c r="HL36" s="243"/>
      <c r="HM36" s="243"/>
      <c r="HN36" s="243"/>
      <c r="HO36" s="243"/>
      <c r="HP36" s="243"/>
      <c r="HQ36" s="243"/>
      <c r="HR36" s="243"/>
      <c r="HS36" s="243"/>
      <c r="HT36" s="243"/>
      <c r="HU36" s="243"/>
      <c r="HV36" s="243"/>
      <c r="HW36" s="243"/>
      <c r="HX36" s="243"/>
      <c r="HY36" s="243"/>
      <c r="HZ36" s="243"/>
      <c r="IA36" s="243"/>
    </row>
    <row r="37" spans="1:235" s="244" customFormat="1" ht="14.25" customHeight="1" x14ac:dyDescent="0.25">
      <c r="A37" s="241">
        <v>1</v>
      </c>
      <c r="B37" s="242" t="s">
        <v>108</v>
      </c>
      <c r="C37" s="363" t="s">
        <v>314</v>
      </c>
      <c r="D37" s="364" t="s">
        <v>124</v>
      </c>
      <c r="E37" s="365">
        <v>7.4</v>
      </c>
      <c r="F37" s="63"/>
      <c r="G37" s="64"/>
      <c r="H37" s="65"/>
      <c r="I37" s="64"/>
      <c r="J37" s="64"/>
      <c r="K37" s="66"/>
      <c r="L37" s="67"/>
      <c r="M37" s="64"/>
      <c r="N37" s="64"/>
      <c r="O37" s="64"/>
      <c r="P37" s="68"/>
      <c r="Q37" s="69"/>
      <c r="R37" s="137"/>
      <c r="S37" s="69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43"/>
      <c r="AM37" s="243"/>
      <c r="AN37" s="243"/>
      <c r="AO37" s="243"/>
      <c r="AP37" s="243"/>
      <c r="AQ37" s="243"/>
      <c r="AR37" s="243"/>
      <c r="AS37" s="243"/>
      <c r="AT37" s="243"/>
      <c r="AU37" s="243"/>
      <c r="AV37" s="243"/>
      <c r="AW37" s="243"/>
      <c r="AX37" s="243"/>
      <c r="AY37" s="243"/>
      <c r="AZ37" s="243"/>
      <c r="BA37" s="243"/>
      <c r="BB37" s="243"/>
      <c r="BC37" s="243"/>
      <c r="BD37" s="243"/>
      <c r="BE37" s="243"/>
      <c r="BF37" s="243"/>
      <c r="BG37" s="243"/>
      <c r="BH37" s="243"/>
      <c r="BI37" s="243"/>
      <c r="BJ37" s="243"/>
      <c r="BK37" s="243"/>
      <c r="BL37" s="243"/>
      <c r="BM37" s="243"/>
      <c r="BN37" s="243"/>
      <c r="BO37" s="243"/>
      <c r="BP37" s="243"/>
      <c r="BQ37" s="243"/>
      <c r="BR37" s="243"/>
      <c r="BS37" s="243"/>
      <c r="BT37" s="243"/>
      <c r="BU37" s="243"/>
      <c r="BV37" s="243"/>
      <c r="BW37" s="243"/>
      <c r="BX37" s="243"/>
      <c r="BY37" s="243"/>
      <c r="BZ37" s="243"/>
      <c r="CA37" s="243"/>
      <c r="CB37" s="243"/>
      <c r="CC37" s="243"/>
      <c r="CD37" s="243"/>
      <c r="CE37" s="243"/>
      <c r="CF37" s="243"/>
      <c r="CG37" s="243"/>
      <c r="CH37" s="243"/>
      <c r="CI37" s="243"/>
      <c r="CJ37" s="243"/>
      <c r="CK37" s="243"/>
      <c r="CL37" s="243"/>
      <c r="CM37" s="243"/>
      <c r="CN37" s="243"/>
      <c r="CO37" s="243"/>
      <c r="CP37" s="243"/>
      <c r="CQ37" s="243"/>
      <c r="CR37" s="243"/>
      <c r="CS37" s="243"/>
      <c r="CT37" s="243"/>
      <c r="CU37" s="243"/>
      <c r="CV37" s="243"/>
      <c r="CW37" s="243"/>
      <c r="CX37" s="243"/>
      <c r="CY37" s="243"/>
      <c r="CZ37" s="243"/>
      <c r="DA37" s="243"/>
      <c r="DB37" s="243"/>
      <c r="DC37" s="243"/>
      <c r="DD37" s="243"/>
      <c r="DE37" s="243"/>
      <c r="DF37" s="243"/>
      <c r="DG37" s="243"/>
      <c r="DH37" s="243"/>
      <c r="DI37" s="243"/>
      <c r="DJ37" s="243"/>
      <c r="DK37" s="243"/>
      <c r="DL37" s="243"/>
      <c r="DM37" s="243"/>
      <c r="DN37" s="243"/>
      <c r="DO37" s="243"/>
      <c r="DP37" s="243"/>
      <c r="DQ37" s="243"/>
      <c r="DR37" s="243"/>
      <c r="DS37" s="243"/>
      <c r="DT37" s="243"/>
      <c r="DU37" s="243"/>
      <c r="DV37" s="243"/>
      <c r="DW37" s="243"/>
      <c r="DX37" s="243"/>
      <c r="DY37" s="243"/>
      <c r="DZ37" s="243"/>
      <c r="EA37" s="243"/>
      <c r="EB37" s="243"/>
      <c r="EC37" s="243"/>
      <c r="ED37" s="243"/>
      <c r="EE37" s="243"/>
      <c r="EF37" s="243"/>
      <c r="EG37" s="243"/>
      <c r="EH37" s="243"/>
      <c r="EI37" s="243"/>
      <c r="EJ37" s="243"/>
      <c r="EK37" s="243"/>
      <c r="EL37" s="243"/>
      <c r="EM37" s="243"/>
      <c r="EN37" s="243"/>
      <c r="EO37" s="243"/>
      <c r="EP37" s="243"/>
      <c r="EQ37" s="243"/>
      <c r="ER37" s="243"/>
      <c r="ES37" s="243"/>
      <c r="ET37" s="243"/>
      <c r="EU37" s="243"/>
      <c r="EV37" s="243"/>
      <c r="EW37" s="243"/>
      <c r="EX37" s="243"/>
      <c r="EY37" s="243"/>
      <c r="EZ37" s="243"/>
      <c r="FA37" s="243"/>
      <c r="FB37" s="243"/>
      <c r="FC37" s="243"/>
      <c r="FD37" s="243"/>
      <c r="FE37" s="243"/>
      <c r="FF37" s="243"/>
      <c r="FG37" s="243"/>
      <c r="FH37" s="243"/>
      <c r="FI37" s="243"/>
      <c r="FJ37" s="243"/>
      <c r="FK37" s="243"/>
      <c r="FL37" s="243"/>
      <c r="FM37" s="243"/>
      <c r="FN37" s="243"/>
      <c r="FO37" s="243"/>
      <c r="FP37" s="243"/>
      <c r="FQ37" s="243"/>
      <c r="FR37" s="243"/>
      <c r="FS37" s="243"/>
      <c r="FT37" s="243"/>
      <c r="FU37" s="243"/>
      <c r="FV37" s="243"/>
      <c r="FW37" s="243"/>
      <c r="FX37" s="243"/>
      <c r="FY37" s="243"/>
      <c r="FZ37" s="243"/>
      <c r="GA37" s="243"/>
      <c r="GB37" s="243"/>
      <c r="GC37" s="243"/>
      <c r="GD37" s="243"/>
      <c r="GE37" s="243"/>
      <c r="GF37" s="243"/>
      <c r="GG37" s="243"/>
      <c r="GH37" s="243"/>
      <c r="GI37" s="243"/>
      <c r="GJ37" s="243"/>
      <c r="GK37" s="243"/>
      <c r="GL37" s="243"/>
      <c r="GM37" s="243"/>
      <c r="GN37" s="243"/>
      <c r="GO37" s="243"/>
      <c r="GP37" s="243"/>
      <c r="GQ37" s="243"/>
      <c r="GR37" s="243"/>
      <c r="GS37" s="243"/>
      <c r="GT37" s="243"/>
      <c r="GU37" s="243"/>
      <c r="GV37" s="243"/>
      <c r="GW37" s="243"/>
      <c r="GX37" s="243"/>
      <c r="GY37" s="243"/>
      <c r="GZ37" s="243"/>
      <c r="HA37" s="243"/>
      <c r="HB37" s="243"/>
      <c r="HC37" s="243"/>
      <c r="HD37" s="243"/>
      <c r="HE37" s="243"/>
      <c r="HF37" s="243"/>
      <c r="HG37" s="243"/>
      <c r="HH37" s="243"/>
      <c r="HI37" s="243"/>
      <c r="HJ37" s="243"/>
      <c r="HK37" s="243"/>
      <c r="HL37" s="243"/>
      <c r="HM37" s="243"/>
      <c r="HN37" s="243"/>
      <c r="HO37" s="243"/>
      <c r="HP37" s="243"/>
      <c r="HQ37" s="243"/>
      <c r="HR37" s="243"/>
      <c r="HS37" s="243"/>
      <c r="HT37" s="243"/>
      <c r="HU37" s="243"/>
      <c r="HV37" s="243"/>
      <c r="HW37" s="243"/>
      <c r="HX37" s="243"/>
      <c r="HY37" s="243"/>
      <c r="HZ37" s="243"/>
      <c r="IA37" s="243"/>
    </row>
    <row r="38" spans="1:235" s="244" customFormat="1" ht="27.75" customHeight="1" x14ac:dyDescent="0.25">
      <c r="A38" s="241">
        <v>2</v>
      </c>
      <c r="B38" s="242"/>
      <c r="C38" s="366" t="s">
        <v>680</v>
      </c>
      <c r="D38" s="364" t="s">
        <v>124</v>
      </c>
      <c r="E38" s="365">
        <f>E37*1.15</f>
        <v>8.51</v>
      </c>
      <c r="F38" s="63"/>
      <c r="G38" s="64"/>
      <c r="H38" s="65"/>
      <c r="I38" s="64"/>
      <c r="J38" s="64"/>
      <c r="K38" s="66"/>
      <c r="L38" s="67"/>
      <c r="M38" s="64"/>
      <c r="N38" s="64"/>
      <c r="O38" s="64"/>
      <c r="P38" s="68"/>
      <c r="Q38" s="69"/>
      <c r="R38" s="137"/>
      <c r="S38" s="69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43"/>
      <c r="AM38" s="243"/>
      <c r="AN38" s="243"/>
      <c r="AO38" s="243"/>
      <c r="AP38" s="243"/>
      <c r="AQ38" s="243"/>
      <c r="AR38" s="243"/>
      <c r="AS38" s="243"/>
      <c r="AT38" s="243"/>
      <c r="AU38" s="243"/>
      <c r="AV38" s="243"/>
      <c r="AW38" s="243"/>
      <c r="AX38" s="243"/>
      <c r="AY38" s="243"/>
      <c r="AZ38" s="243"/>
      <c r="BA38" s="243"/>
      <c r="BB38" s="243"/>
      <c r="BC38" s="243"/>
      <c r="BD38" s="243"/>
      <c r="BE38" s="243"/>
      <c r="BF38" s="243"/>
      <c r="BG38" s="243"/>
      <c r="BH38" s="243"/>
      <c r="BI38" s="243"/>
      <c r="BJ38" s="243"/>
      <c r="BK38" s="243"/>
      <c r="BL38" s="243"/>
      <c r="BM38" s="243"/>
      <c r="BN38" s="243"/>
      <c r="BO38" s="243"/>
      <c r="BP38" s="243"/>
      <c r="BQ38" s="243"/>
      <c r="BR38" s="243"/>
      <c r="BS38" s="243"/>
      <c r="BT38" s="243"/>
      <c r="BU38" s="243"/>
      <c r="BV38" s="243"/>
      <c r="BW38" s="243"/>
      <c r="BX38" s="243"/>
      <c r="BY38" s="243"/>
      <c r="BZ38" s="243"/>
      <c r="CA38" s="243"/>
      <c r="CB38" s="243"/>
      <c r="CC38" s="243"/>
      <c r="CD38" s="243"/>
      <c r="CE38" s="243"/>
      <c r="CF38" s="243"/>
      <c r="CG38" s="243"/>
      <c r="CH38" s="243"/>
      <c r="CI38" s="243"/>
      <c r="CJ38" s="243"/>
      <c r="CK38" s="243"/>
      <c r="CL38" s="243"/>
      <c r="CM38" s="243"/>
      <c r="CN38" s="243"/>
      <c r="CO38" s="243"/>
      <c r="CP38" s="243"/>
      <c r="CQ38" s="243"/>
      <c r="CR38" s="243"/>
      <c r="CS38" s="243"/>
      <c r="CT38" s="243"/>
      <c r="CU38" s="243"/>
      <c r="CV38" s="243"/>
      <c r="CW38" s="243"/>
      <c r="CX38" s="243"/>
      <c r="CY38" s="243"/>
      <c r="CZ38" s="243"/>
      <c r="DA38" s="243"/>
      <c r="DB38" s="243"/>
      <c r="DC38" s="243"/>
      <c r="DD38" s="243"/>
      <c r="DE38" s="243"/>
      <c r="DF38" s="243"/>
      <c r="DG38" s="243"/>
      <c r="DH38" s="243"/>
      <c r="DI38" s="243"/>
      <c r="DJ38" s="243"/>
      <c r="DK38" s="243"/>
      <c r="DL38" s="243"/>
      <c r="DM38" s="243"/>
      <c r="DN38" s="243"/>
      <c r="DO38" s="243"/>
      <c r="DP38" s="243"/>
      <c r="DQ38" s="243"/>
      <c r="DR38" s="243"/>
      <c r="DS38" s="243"/>
      <c r="DT38" s="243"/>
      <c r="DU38" s="243"/>
      <c r="DV38" s="243"/>
      <c r="DW38" s="243"/>
      <c r="DX38" s="243"/>
      <c r="DY38" s="243"/>
      <c r="DZ38" s="243"/>
      <c r="EA38" s="243"/>
      <c r="EB38" s="243"/>
      <c r="EC38" s="243"/>
      <c r="ED38" s="243"/>
      <c r="EE38" s="243"/>
      <c r="EF38" s="243"/>
      <c r="EG38" s="243"/>
      <c r="EH38" s="243"/>
      <c r="EI38" s="243"/>
      <c r="EJ38" s="243"/>
      <c r="EK38" s="243"/>
      <c r="EL38" s="243"/>
      <c r="EM38" s="243"/>
      <c r="EN38" s="243"/>
      <c r="EO38" s="243"/>
      <c r="EP38" s="243"/>
      <c r="EQ38" s="243"/>
      <c r="ER38" s="243"/>
      <c r="ES38" s="243"/>
      <c r="ET38" s="243"/>
      <c r="EU38" s="243"/>
      <c r="EV38" s="243"/>
      <c r="EW38" s="243"/>
      <c r="EX38" s="243"/>
      <c r="EY38" s="243"/>
      <c r="EZ38" s="243"/>
      <c r="FA38" s="243"/>
      <c r="FB38" s="243"/>
      <c r="FC38" s="243"/>
      <c r="FD38" s="243"/>
      <c r="FE38" s="243"/>
      <c r="FF38" s="243"/>
      <c r="FG38" s="243"/>
      <c r="FH38" s="243"/>
      <c r="FI38" s="243"/>
      <c r="FJ38" s="243"/>
      <c r="FK38" s="243"/>
      <c r="FL38" s="243"/>
      <c r="FM38" s="243"/>
      <c r="FN38" s="243"/>
      <c r="FO38" s="243"/>
      <c r="FP38" s="243"/>
      <c r="FQ38" s="243"/>
      <c r="FR38" s="243"/>
      <c r="FS38" s="243"/>
      <c r="FT38" s="243"/>
      <c r="FU38" s="243"/>
      <c r="FV38" s="243"/>
      <c r="FW38" s="243"/>
      <c r="FX38" s="243"/>
      <c r="FY38" s="243"/>
      <c r="FZ38" s="243"/>
      <c r="GA38" s="243"/>
      <c r="GB38" s="243"/>
      <c r="GC38" s="243"/>
      <c r="GD38" s="243"/>
      <c r="GE38" s="243"/>
      <c r="GF38" s="243"/>
      <c r="GG38" s="243"/>
      <c r="GH38" s="243"/>
      <c r="GI38" s="243"/>
      <c r="GJ38" s="243"/>
      <c r="GK38" s="243"/>
      <c r="GL38" s="243"/>
      <c r="GM38" s="243"/>
      <c r="GN38" s="243"/>
      <c r="GO38" s="243"/>
      <c r="GP38" s="243"/>
      <c r="GQ38" s="243"/>
      <c r="GR38" s="243"/>
      <c r="GS38" s="243"/>
      <c r="GT38" s="243"/>
      <c r="GU38" s="243"/>
      <c r="GV38" s="243"/>
      <c r="GW38" s="243"/>
      <c r="GX38" s="243"/>
      <c r="GY38" s="243"/>
      <c r="GZ38" s="243"/>
      <c r="HA38" s="243"/>
      <c r="HB38" s="243"/>
      <c r="HC38" s="243"/>
      <c r="HD38" s="243"/>
      <c r="HE38" s="243"/>
      <c r="HF38" s="243"/>
      <c r="HG38" s="243"/>
      <c r="HH38" s="243"/>
      <c r="HI38" s="243"/>
      <c r="HJ38" s="243"/>
      <c r="HK38" s="243"/>
      <c r="HL38" s="243"/>
      <c r="HM38" s="243"/>
      <c r="HN38" s="243"/>
      <c r="HO38" s="243"/>
      <c r="HP38" s="243"/>
      <c r="HQ38" s="243"/>
      <c r="HR38" s="243"/>
      <c r="HS38" s="243"/>
      <c r="HT38" s="243"/>
      <c r="HU38" s="243"/>
      <c r="HV38" s="243"/>
      <c r="HW38" s="243"/>
      <c r="HX38" s="243"/>
      <c r="HY38" s="243"/>
      <c r="HZ38" s="243"/>
      <c r="IA38" s="243"/>
    </row>
    <row r="39" spans="1:235" s="244" customFormat="1" ht="14.25" customHeight="1" x14ac:dyDescent="0.25">
      <c r="A39" s="241">
        <v>3</v>
      </c>
      <c r="B39" s="242"/>
      <c r="C39" s="366" t="s">
        <v>191</v>
      </c>
      <c r="D39" s="364" t="s">
        <v>180</v>
      </c>
      <c r="E39" s="365">
        <f>E37*5*1.1</f>
        <v>40.700000000000003</v>
      </c>
      <c r="F39" s="63"/>
      <c r="G39" s="64"/>
      <c r="H39" s="65"/>
      <c r="I39" s="64"/>
      <c r="J39" s="64"/>
      <c r="K39" s="66"/>
      <c r="L39" s="67"/>
      <c r="M39" s="64"/>
      <c r="N39" s="64"/>
      <c r="O39" s="64"/>
      <c r="P39" s="68"/>
      <c r="Q39" s="69"/>
      <c r="R39" s="137"/>
      <c r="S39" s="69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3"/>
      <c r="BA39" s="243"/>
      <c r="BB39" s="243"/>
      <c r="BC39" s="243"/>
      <c r="BD39" s="243"/>
      <c r="BE39" s="243"/>
      <c r="BF39" s="243"/>
      <c r="BG39" s="243"/>
      <c r="BH39" s="243"/>
      <c r="BI39" s="243"/>
      <c r="BJ39" s="243"/>
      <c r="BK39" s="243"/>
      <c r="BL39" s="243"/>
      <c r="BM39" s="243"/>
      <c r="BN39" s="243"/>
      <c r="BO39" s="243"/>
      <c r="BP39" s="243"/>
      <c r="BQ39" s="243"/>
      <c r="BR39" s="243"/>
      <c r="BS39" s="243"/>
      <c r="BT39" s="243"/>
      <c r="BU39" s="243"/>
      <c r="BV39" s="243"/>
      <c r="BW39" s="243"/>
      <c r="BX39" s="243"/>
      <c r="BY39" s="243"/>
      <c r="BZ39" s="243"/>
      <c r="CA39" s="243"/>
      <c r="CB39" s="243"/>
      <c r="CC39" s="243"/>
      <c r="CD39" s="243"/>
      <c r="CE39" s="243"/>
      <c r="CF39" s="243"/>
      <c r="CG39" s="243"/>
      <c r="CH39" s="243"/>
      <c r="CI39" s="243"/>
      <c r="CJ39" s="243"/>
      <c r="CK39" s="243"/>
      <c r="CL39" s="243"/>
      <c r="CM39" s="243"/>
      <c r="CN39" s="243"/>
      <c r="CO39" s="243"/>
      <c r="CP39" s="243"/>
      <c r="CQ39" s="243"/>
      <c r="CR39" s="243"/>
      <c r="CS39" s="243"/>
      <c r="CT39" s="243"/>
      <c r="CU39" s="243"/>
      <c r="CV39" s="243"/>
      <c r="CW39" s="243"/>
      <c r="CX39" s="243"/>
      <c r="CY39" s="243"/>
      <c r="CZ39" s="243"/>
      <c r="DA39" s="243"/>
      <c r="DB39" s="243"/>
      <c r="DC39" s="243"/>
      <c r="DD39" s="243"/>
      <c r="DE39" s="243"/>
      <c r="DF39" s="243"/>
      <c r="DG39" s="243"/>
      <c r="DH39" s="243"/>
      <c r="DI39" s="243"/>
      <c r="DJ39" s="243"/>
      <c r="DK39" s="243"/>
      <c r="DL39" s="243"/>
      <c r="DM39" s="243"/>
      <c r="DN39" s="243"/>
      <c r="DO39" s="243"/>
      <c r="DP39" s="243"/>
      <c r="DQ39" s="243"/>
      <c r="DR39" s="243"/>
      <c r="DS39" s="243"/>
      <c r="DT39" s="243"/>
      <c r="DU39" s="243"/>
      <c r="DV39" s="243"/>
      <c r="DW39" s="243"/>
      <c r="DX39" s="243"/>
      <c r="DY39" s="243"/>
      <c r="DZ39" s="243"/>
      <c r="EA39" s="243"/>
      <c r="EB39" s="243"/>
      <c r="EC39" s="243"/>
      <c r="ED39" s="243"/>
      <c r="EE39" s="243"/>
      <c r="EF39" s="243"/>
      <c r="EG39" s="243"/>
      <c r="EH39" s="243"/>
      <c r="EI39" s="243"/>
      <c r="EJ39" s="243"/>
      <c r="EK39" s="243"/>
      <c r="EL39" s="243"/>
      <c r="EM39" s="243"/>
      <c r="EN39" s="243"/>
      <c r="EO39" s="243"/>
      <c r="EP39" s="243"/>
      <c r="EQ39" s="243"/>
      <c r="ER39" s="243"/>
      <c r="ES39" s="243"/>
      <c r="ET39" s="243"/>
      <c r="EU39" s="243"/>
      <c r="EV39" s="243"/>
      <c r="EW39" s="243"/>
      <c r="EX39" s="243"/>
      <c r="EY39" s="243"/>
      <c r="EZ39" s="243"/>
      <c r="FA39" s="243"/>
      <c r="FB39" s="243"/>
      <c r="FC39" s="243"/>
      <c r="FD39" s="243"/>
      <c r="FE39" s="243"/>
      <c r="FF39" s="243"/>
      <c r="FG39" s="243"/>
      <c r="FH39" s="243"/>
      <c r="FI39" s="243"/>
      <c r="FJ39" s="243"/>
      <c r="FK39" s="243"/>
      <c r="FL39" s="243"/>
      <c r="FM39" s="243"/>
      <c r="FN39" s="243"/>
      <c r="FO39" s="243"/>
      <c r="FP39" s="243"/>
      <c r="FQ39" s="243"/>
      <c r="FR39" s="243"/>
      <c r="FS39" s="243"/>
      <c r="FT39" s="243"/>
      <c r="FU39" s="243"/>
      <c r="FV39" s="243"/>
      <c r="FW39" s="243"/>
      <c r="FX39" s="243"/>
      <c r="FY39" s="243"/>
      <c r="FZ39" s="243"/>
      <c r="GA39" s="243"/>
      <c r="GB39" s="243"/>
      <c r="GC39" s="243"/>
      <c r="GD39" s="243"/>
      <c r="GE39" s="243"/>
      <c r="GF39" s="243"/>
      <c r="GG39" s="243"/>
      <c r="GH39" s="243"/>
      <c r="GI39" s="243"/>
      <c r="GJ39" s="243"/>
      <c r="GK39" s="243"/>
      <c r="GL39" s="243"/>
      <c r="GM39" s="243"/>
      <c r="GN39" s="243"/>
      <c r="GO39" s="243"/>
      <c r="GP39" s="243"/>
      <c r="GQ39" s="243"/>
      <c r="GR39" s="243"/>
      <c r="GS39" s="243"/>
      <c r="GT39" s="243"/>
      <c r="GU39" s="243"/>
      <c r="GV39" s="243"/>
      <c r="GW39" s="243"/>
      <c r="GX39" s="243"/>
      <c r="GY39" s="243"/>
      <c r="GZ39" s="243"/>
      <c r="HA39" s="243"/>
      <c r="HB39" s="243"/>
      <c r="HC39" s="243"/>
      <c r="HD39" s="243"/>
      <c r="HE39" s="243"/>
      <c r="HF39" s="243"/>
      <c r="HG39" s="243"/>
      <c r="HH39" s="243"/>
      <c r="HI39" s="243"/>
      <c r="HJ39" s="243"/>
      <c r="HK39" s="243"/>
      <c r="HL39" s="243"/>
      <c r="HM39" s="243"/>
      <c r="HN39" s="243"/>
      <c r="HO39" s="243"/>
      <c r="HP39" s="243"/>
      <c r="HQ39" s="243"/>
      <c r="HR39" s="243"/>
      <c r="HS39" s="243"/>
      <c r="HT39" s="243"/>
      <c r="HU39" s="243"/>
      <c r="HV39" s="243"/>
      <c r="HW39" s="243"/>
      <c r="HX39" s="243"/>
      <c r="HY39" s="243"/>
      <c r="HZ39" s="243"/>
      <c r="IA39" s="243"/>
    </row>
    <row r="40" spans="1:235" s="244" customFormat="1" ht="14.25" customHeight="1" x14ac:dyDescent="0.25">
      <c r="A40" s="241">
        <v>4</v>
      </c>
      <c r="B40" s="242"/>
      <c r="C40" s="366" t="s">
        <v>194</v>
      </c>
      <c r="D40" s="364" t="s">
        <v>124</v>
      </c>
      <c r="E40" s="365">
        <f>E37</f>
        <v>7.4</v>
      </c>
      <c r="F40" s="63"/>
      <c r="G40" s="64"/>
      <c r="H40" s="65"/>
      <c r="I40" s="64"/>
      <c r="J40" s="64"/>
      <c r="K40" s="66"/>
      <c r="L40" s="67"/>
      <c r="M40" s="64"/>
      <c r="N40" s="64"/>
      <c r="O40" s="64"/>
      <c r="P40" s="68"/>
      <c r="Q40" s="69"/>
      <c r="R40" s="137"/>
      <c r="S40" s="69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43"/>
      <c r="AM40" s="243"/>
      <c r="AN40" s="243"/>
      <c r="AO40" s="243"/>
      <c r="AP40" s="243"/>
      <c r="AQ40" s="243"/>
      <c r="AR40" s="243"/>
      <c r="AS40" s="243"/>
      <c r="AT40" s="243"/>
      <c r="AU40" s="243"/>
      <c r="AV40" s="243"/>
      <c r="AW40" s="243"/>
      <c r="AX40" s="243"/>
      <c r="AY40" s="243"/>
      <c r="AZ40" s="243"/>
      <c r="BA40" s="243"/>
      <c r="BB40" s="243"/>
      <c r="BC40" s="243"/>
      <c r="BD40" s="243"/>
      <c r="BE40" s="243"/>
      <c r="BF40" s="243"/>
      <c r="BG40" s="243"/>
      <c r="BH40" s="243"/>
      <c r="BI40" s="243"/>
      <c r="BJ40" s="243"/>
      <c r="BK40" s="243"/>
      <c r="BL40" s="243"/>
      <c r="BM40" s="243"/>
      <c r="BN40" s="243"/>
      <c r="BO40" s="243"/>
      <c r="BP40" s="243"/>
      <c r="BQ40" s="243"/>
      <c r="BR40" s="243"/>
      <c r="BS40" s="243"/>
      <c r="BT40" s="243"/>
      <c r="BU40" s="243"/>
      <c r="BV40" s="243"/>
      <c r="BW40" s="243"/>
      <c r="BX40" s="243"/>
      <c r="BY40" s="243"/>
      <c r="BZ40" s="243"/>
      <c r="CA40" s="243"/>
      <c r="CB40" s="243"/>
      <c r="CC40" s="243"/>
      <c r="CD40" s="243"/>
      <c r="CE40" s="243"/>
      <c r="CF40" s="243"/>
      <c r="CG40" s="243"/>
      <c r="CH40" s="243"/>
      <c r="CI40" s="243"/>
      <c r="CJ40" s="243"/>
      <c r="CK40" s="243"/>
      <c r="CL40" s="243"/>
      <c r="CM40" s="243"/>
      <c r="CN40" s="243"/>
      <c r="CO40" s="243"/>
      <c r="CP40" s="243"/>
      <c r="CQ40" s="243"/>
      <c r="CR40" s="243"/>
      <c r="CS40" s="243"/>
      <c r="CT40" s="243"/>
      <c r="CU40" s="243"/>
      <c r="CV40" s="243"/>
      <c r="CW40" s="243"/>
      <c r="CX40" s="243"/>
      <c r="CY40" s="243"/>
      <c r="CZ40" s="243"/>
      <c r="DA40" s="243"/>
      <c r="DB40" s="243"/>
      <c r="DC40" s="243"/>
      <c r="DD40" s="243"/>
      <c r="DE40" s="243"/>
      <c r="DF40" s="243"/>
      <c r="DG40" s="243"/>
      <c r="DH40" s="243"/>
      <c r="DI40" s="243"/>
      <c r="DJ40" s="243"/>
      <c r="DK40" s="243"/>
      <c r="DL40" s="243"/>
      <c r="DM40" s="243"/>
      <c r="DN40" s="243"/>
      <c r="DO40" s="243"/>
      <c r="DP40" s="243"/>
      <c r="DQ40" s="243"/>
      <c r="DR40" s="243"/>
      <c r="DS40" s="243"/>
      <c r="DT40" s="243"/>
      <c r="DU40" s="243"/>
      <c r="DV40" s="243"/>
      <c r="DW40" s="243"/>
      <c r="DX40" s="243"/>
      <c r="DY40" s="243"/>
      <c r="DZ40" s="243"/>
      <c r="EA40" s="243"/>
      <c r="EB40" s="243"/>
      <c r="EC40" s="243"/>
      <c r="ED40" s="243"/>
      <c r="EE40" s="243"/>
      <c r="EF40" s="243"/>
      <c r="EG40" s="243"/>
      <c r="EH40" s="243"/>
      <c r="EI40" s="243"/>
      <c r="EJ40" s="243"/>
      <c r="EK40" s="243"/>
      <c r="EL40" s="243"/>
      <c r="EM40" s="243"/>
      <c r="EN40" s="243"/>
      <c r="EO40" s="243"/>
      <c r="EP40" s="243"/>
      <c r="EQ40" s="243"/>
      <c r="ER40" s="243"/>
      <c r="ES40" s="243"/>
      <c r="ET40" s="243"/>
      <c r="EU40" s="243"/>
      <c r="EV40" s="243"/>
      <c r="EW40" s="243"/>
      <c r="EX40" s="243"/>
      <c r="EY40" s="243"/>
      <c r="EZ40" s="243"/>
      <c r="FA40" s="243"/>
      <c r="FB40" s="243"/>
      <c r="FC40" s="243"/>
      <c r="FD40" s="243"/>
      <c r="FE40" s="243"/>
      <c r="FF40" s="243"/>
      <c r="FG40" s="243"/>
      <c r="FH40" s="243"/>
      <c r="FI40" s="243"/>
      <c r="FJ40" s="243"/>
      <c r="FK40" s="243"/>
      <c r="FL40" s="243"/>
      <c r="FM40" s="243"/>
      <c r="FN40" s="243"/>
      <c r="FO40" s="243"/>
      <c r="FP40" s="243"/>
      <c r="FQ40" s="243"/>
      <c r="FR40" s="243"/>
      <c r="FS40" s="243"/>
      <c r="FT40" s="243"/>
      <c r="FU40" s="243"/>
      <c r="FV40" s="243"/>
      <c r="FW40" s="243"/>
      <c r="FX40" s="243"/>
      <c r="FY40" s="243"/>
      <c r="FZ40" s="243"/>
      <c r="GA40" s="243"/>
      <c r="GB40" s="243"/>
      <c r="GC40" s="243"/>
      <c r="GD40" s="243"/>
      <c r="GE40" s="243"/>
      <c r="GF40" s="243"/>
      <c r="GG40" s="243"/>
      <c r="GH40" s="243"/>
      <c r="GI40" s="243"/>
      <c r="GJ40" s="243"/>
      <c r="GK40" s="243"/>
      <c r="GL40" s="243"/>
      <c r="GM40" s="243"/>
      <c r="GN40" s="243"/>
      <c r="GO40" s="243"/>
      <c r="GP40" s="243"/>
      <c r="GQ40" s="243"/>
      <c r="GR40" s="243"/>
      <c r="GS40" s="243"/>
      <c r="GT40" s="243"/>
      <c r="GU40" s="243"/>
      <c r="GV40" s="243"/>
      <c r="GW40" s="243"/>
      <c r="GX40" s="243"/>
      <c r="GY40" s="243"/>
      <c r="GZ40" s="243"/>
      <c r="HA40" s="243"/>
      <c r="HB40" s="243"/>
      <c r="HC40" s="243"/>
      <c r="HD40" s="243"/>
      <c r="HE40" s="243"/>
      <c r="HF40" s="243"/>
      <c r="HG40" s="243"/>
      <c r="HH40" s="243"/>
      <c r="HI40" s="243"/>
      <c r="HJ40" s="243"/>
      <c r="HK40" s="243"/>
      <c r="HL40" s="243"/>
      <c r="HM40" s="243"/>
      <c r="HN40" s="243"/>
      <c r="HO40" s="243"/>
      <c r="HP40" s="243"/>
      <c r="HQ40" s="243"/>
      <c r="HR40" s="243"/>
      <c r="HS40" s="243"/>
      <c r="HT40" s="243"/>
      <c r="HU40" s="243"/>
      <c r="HV40" s="243"/>
      <c r="HW40" s="243"/>
      <c r="HX40" s="243"/>
      <c r="HY40" s="243"/>
      <c r="HZ40" s="243"/>
      <c r="IA40" s="243"/>
    </row>
    <row r="41" spans="1:235" s="58" customFormat="1" ht="34.5" customHeight="1" x14ac:dyDescent="0.25">
      <c r="A41" s="59">
        <v>5</v>
      </c>
      <c r="B41" s="60" t="s">
        <v>108</v>
      </c>
      <c r="C41" s="332" t="s">
        <v>681</v>
      </c>
      <c r="D41" s="333" t="s">
        <v>124</v>
      </c>
      <c r="E41" s="334">
        <v>15</v>
      </c>
      <c r="F41" s="63"/>
      <c r="G41" s="64"/>
      <c r="H41" s="65"/>
      <c r="I41" s="64"/>
      <c r="J41" s="64"/>
      <c r="K41" s="66"/>
      <c r="L41" s="67"/>
      <c r="M41" s="64"/>
      <c r="N41" s="64"/>
      <c r="O41" s="64"/>
      <c r="P41" s="68"/>
      <c r="S41" s="94"/>
    </row>
    <row r="42" spans="1:235" s="244" customFormat="1" ht="14.25" customHeight="1" x14ac:dyDescent="0.25">
      <c r="A42" s="241"/>
      <c r="B42" s="242"/>
      <c r="C42" s="367" t="s">
        <v>612</v>
      </c>
      <c r="D42" s="364"/>
      <c r="E42" s="365"/>
      <c r="F42" s="63"/>
      <c r="G42" s="64"/>
      <c r="H42" s="65"/>
      <c r="I42" s="64"/>
      <c r="J42" s="64"/>
      <c r="K42" s="66"/>
      <c r="L42" s="67"/>
      <c r="M42" s="64"/>
      <c r="N42" s="64"/>
      <c r="O42" s="64"/>
      <c r="P42" s="68"/>
      <c r="Q42" s="69"/>
      <c r="R42" s="137"/>
      <c r="S42" s="69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43"/>
      <c r="AM42" s="243"/>
      <c r="AN42" s="243"/>
      <c r="AO42" s="243"/>
      <c r="AP42" s="243"/>
      <c r="AQ42" s="243"/>
      <c r="AR42" s="243"/>
      <c r="AS42" s="243"/>
      <c r="AT42" s="243"/>
      <c r="AU42" s="243"/>
      <c r="AV42" s="243"/>
      <c r="AW42" s="243"/>
      <c r="AX42" s="243"/>
      <c r="AY42" s="243"/>
      <c r="AZ42" s="243"/>
      <c r="BA42" s="243"/>
      <c r="BB42" s="243"/>
      <c r="BC42" s="243"/>
      <c r="BD42" s="243"/>
      <c r="BE42" s="243"/>
      <c r="BF42" s="243"/>
      <c r="BG42" s="243"/>
      <c r="BH42" s="243"/>
      <c r="BI42" s="243"/>
      <c r="BJ42" s="243"/>
      <c r="BK42" s="243"/>
      <c r="BL42" s="243"/>
      <c r="BM42" s="243"/>
      <c r="BN42" s="243"/>
      <c r="BO42" s="243"/>
      <c r="BP42" s="243"/>
      <c r="BQ42" s="243"/>
      <c r="BR42" s="243"/>
      <c r="BS42" s="243"/>
      <c r="BT42" s="243"/>
      <c r="BU42" s="243"/>
      <c r="BV42" s="243"/>
      <c r="BW42" s="243"/>
      <c r="BX42" s="243"/>
      <c r="BY42" s="243"/>
      <c r="BZ42" s="243"/>
      <c r="CA42" s="243"/>
      <c r="CB42" s="243"/>
      <c r="CC42" s="243"/>
      <c r="CD42" s="243"/>
      <c r="CE42" s="243"/>
      <c r="CF42" s="243"/>
      <c r="CG42" s="243"/>
      <c r="CH42" s="243"/>
      <c r="CI42" s="243"/>
      <c r="CJ42" s="243"/>
      <c r="CK42" s="243"/>
      <c r="CL42" s="243"/>
      <c r="CM42" s="243"/>
      <c r="CN42" s="243"/>
      <c r="CO42" s="243"/>
      <c r="CP42" s="243"/>
      <c r="CQ42" s="243"/>
      <c r="CR42" s="243"/>
      <c r="CS42" s="243"/>
      <c r="CT42" s="243"/>
      <c r="CU42" s="243"/>
      <c r="CV42" s="243"/>
      <c r="CW42" s="243"/>
      <c r="CX42" s="243"/>
      <c r="CY42" s="243"/>
      <c r="CZ42" s="243"/>
      <c r="DA42" s="243"/>
      <c r="DB42" s="243"/>
      <c r="DC42" s="243"/>
      <c r="DD42" s="243"/>
      <c r="DE42" s="243"/>
      <c r="DF42" s="243"/>
      <c r="DG42" s="243"/>
      <c r="DH42" s="243"/>
      <c r="DI42" s="243"/>
      <c r="DJ42" s="243"/>
      <c r="DK42" s="243"/>
      <c r="DL42" s="243"/>
      <c r="DM42" s="243"/>
      <c r="DN42" s="243"/>
      <c r="DO42" s="243"/>
      <c r="DP42" s="243"/>
      <c r="DQ42" s="243"/>
      <c r="DR42" s="243"/>
      <c r="DS42" s="243"/>
      <c r="DT42" s="243"/>
      <c r="DU42" s="243"/>
      <c r="DV42" s="243"/>
      <c r="DW42" s="243"/>
      <c r="DX42" s="243"/>
      <c r="DY42" s="243"/>
      <c r="DZ42" s="243"/>
      <c r="EA42" s="243"/>
      <c r="EB42" s="243"/>
      <c r="EC42" s="243"/>
      <c r="ED42" s="243"/>
      <c r="EE42" s="243"/>
      <c r="EF42" s="243"/>
      <c r="EG42" s="243"/>
      <c r="EH42" s="243"/>
      <c r="EI42" s="243"/>
      <c r="EJ42" s="243"/>
      <c r="EK42" s="243"/>
      <c r="EL42" s="243"/>
      <c r="EM42" s="243"/>
      <c r="EN42" s="243"/>
      <c r="EO42" s="243"/>
      <c r="EP42" s="243"/>
      <c r="EQ42" s="243"/>
      <c r="ER42" s="243"/>
      <c r="ES42" s="243"/>
      <c r="ET42" s="243"/>
      <c r="EU42" s="243"/>
      <c r="EV42" s="243"/>
      <c r="EW42" s="243"/>
      <c r="EX42" s="243"/>
      <c r="EY42" s="243"/>
      <c r="EZ42" s="243"/>
      <c r="FA42" s="243"/>
      <c r="FB42" s="243"/>
      <c r="FC42" s="243"/>
      <c r="FD42" s="243"/>
      <c r="FE42" s="243"/>
      <c r="FF42" s="243"/>
      <c r="FG42" s="243"/>
      <c r="FH42" s="243"/>
      <c r="FI42" s="243"/>
      <c r="FJ42" s="243"/>
      <c r="FK42" s="243"/>
      <c r="FL42" s="243"/>
      <c r="FM42" s="243"/>
      <c r="FN42" s="243"/>
      <c r="FO42" s="243"/>
      <c r="FP42" s="243"/>
      <c r="FQ42" s="243"/>
      <c r="FR42" s="243"/>
      <c r="FS42" s="243"/>
      <c r="FT42" s="243"/>
      <c r="FU42" s="243"/>
      <c r="FV42" s="243"/>
      <c r="FW42" s="243"/>
      <c r="FX42" s="243"/>
      <c r="FY42" s="243"/>
      <c r="FZ42" s="243"/>
      <c r="GA42" s="243"/>
      <c r="GB42" s="243"/>
      <c r="GC42" s="243"/>
      <c r="GD42" s="243"/>
      <c r="GE42" s="243"/>
      <c r="GF42" s="243"/>
      <c r="GG42" s="243"/>
      <c r="GH42" s="243"/>
      <c r="GI42" s="243"/>
      <c r="GJ42" s="243"/>
      <c r="GK42" s="243"/>
      <c r="GL42" s="243"/>
      <c r="GM42" s="243"/>
      <c r="GN42" s="243"/>
      <c r="GO42" s="243"/>
      <c r="GP42" s="243"/>
      <c r="GQ42" s="243"/>
      <c r="GR42" s="243"/>
      <c r="GS42" s="243"/>
      <c r="GT42" s="243"/>
      <c r="GU42" s="243"/>
      <c r="GV42" s="243"/>
      <c r="GW42" s="243"/>
      <c r="GX42" s="243"/>
      <c r="GY42" s="243"/>
      <c r="GZ42" s="243"/>
      <c r="HA42" s="243"/>
      <c r="HB42" s="243"/>
      <c r="HC42" s="243"/>
      <c r="HD42" s="243"/>
      <c r="HE42" s="243"/>
      <c r="HF42" s="243"/>
      <c r="HG42" s="243"/>
      <c r="HH42" s="243"/>
      <c r="HI42" s="243"/>
      <c r="HJ42" s="243"/>
      <c r="HK42" s="243"/>
      <c r="HL42" s="243"/>
      <c r="HM42" s="243"/>
      <c r="HN42" s="243"/>
      <c r="HO42" s="243"/>
      <c r="HP42" s="243"/>
      <c r="HQ42" s="243"/>
      <c r="HR42" s="243"/>
      <c r="HS42" s="243"/>
      <c r="HT42" s="243"/>
      <c r="HU42" s="243"/>
      <c r="HV42" s="243"/>
      <c r="HW42" s="243"/>
      <c r="HX42" s="243"/>
      <c r="HY42" s="243"/>
      <c r="HZ42" s="243"/>
      <c r="IA42" s="243"/>
    </row>
    <row r="43" spans="1:235" s="244" customFormat="1" ht="24.6" customHeight="1" x14ac:dyDescent="0.25">
      <c r="A43" s="241">
        <v>1</v>
      </c>
      <c r="B43" s="242" t="s">
        <v>108</v>
      </c>
      <c r="C43" s="363" t="s">
        <v>312</v>
      </c>
      <c r="D43" s="364" t="s">
        <v>124</v>
      </c>
      <c r="E43" s="365">
        <v>93.79</v>
      </c>
      <c r="F43" s="63"/>
      <c r="G43" s="64"/>
      <c r="H43" s="65"/>
      <c r="I43" s="64"/>
      <c r="J43" s="64"/>
      <c r="K43" s="66"/>
      <c r="L43" s="67"/>
      <c r="M43" s="64"/>
      <c r="N43" s="64"/>
      <c r="O43" s="64"/>
      <c r="P43" s="68"/>
      <c r="Q43" s="69"/>
      <c r="R43" s="137"/>
      <c r="S43" s="69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3"/>
      <c r="AK43" s="243"/>
      <c r="AL43" s="243"/>
      <c r="AM43" s="243"/>
      <c r="AN43" s="243"/>
      <c r="AO43" s="243"/>
      <c r="AP43" s="243"/>
      <c r="AQ43" s="243"/>
      <c r="AR43" s="243"/>
      <c r="AS43" s="243"/>
      <c r="AT43" s="243"/>
      <c r="AU43" s="243"/>
      <c r="AV43" s="243"/>
      <c r="AW43" s="243"/>
      <c r="AX43" s="243"/>
      <c r="AY43" s="243"/>
      <c r="AZ43" s="243"/>
      <c r="BA43" s="243"/>
      <c r="BB43" s="243"/>
      <c r="BC43" s="243"/>
      <c r="BD43" s="243"/>
      <c r="BE43" s="243"/>
      <c r="BF43" s="243"/>
      <c r="BG43" s="243"/>
      <c r="BH43" s="243"/>
      <c r="BI43" s="243"/>
      <c r="BJ43" s="243"/>
      <c r="BK43" s="243"/>
      <c r="BL43" s="243"/>
      <c r="BM43" s="243"/>
      <c r="BN43" s="243"/>
      <c r="BO43" s="243"/>
      <c r="BP43" s="243"/>
      <c r="BQ43" s="243"/>
      <c r="BR43" s="243"/>
      <c r="BS43" s="243"/>
      <c r="BT43" s="243"/>
      <c r="BU43" s="243"/>
      <c r="BV43" s="243"/>
      <c r="BW43" s="243"/>
      <c r="BX43" s="243"/>
      <c r="BY43" s="243"/>
      <c r="BZ43" s="243"/>
      <c r="CA43" s="243"/>
      <c r="CB43" s="243"/>
      <c r="CC43" s="243"/>
      <c r="CD43" s="243"/>
      <c r="CE43" s="243"/>
      <c r="CF43" s="243"/>
      <c r="CG43" s="243"/>
      <c r="CH43" s="243"/>
      <c r="CI43" s="243"/>
      <c r="CJ43" s="243"/>
      <c r="CK43" s="243"/>
      <c r="CL43" s="243"/>
      <c r="CM43" s="243"/>
      <c r="CN43" s="243"/>
      <c r="CO43" s="243"/>
      <c r="CP43" s="243"/>
      <c r="CQ43" s="243"/>
      <c r="CR43" s="243"/>
      <c r="CS43" s="243"/>
      <c r="CT43" s="243"/>
      <c r="CU43" s="243"/>
      <c r="CV43" s="243"/>
      <c r="CW43" s="243"/>
      <c r="CX43" s="243"/>
      <c r="CY43" s="243"/>
      <c r="CZ43" s="243"/>
      <c r="DA43" s="243"/>
      <c r="DB43" s="243"/>
      <c r="DC43" s="243"/>
      <c r="DD43" s="243"/>
      <c r="DE43" s="243"/>
      <c r="DF43" s="243"/>
      <c r="DG43" s="243"/>
      <c r="DH43" s="243"/>
      <c r="DI43" s="243"/>
      <c r="DJ43" s="243"/>
      <c r="DK43" s="243"/>
      <c r="DL43" s="243"/>
      <c r="DM43" s="243"/>
      <c r="DN43" s="243"/>
      <c r="DO43" s="243"/>
      <c r="DP43" s="243"/>
      <c r="DQ43" s="243"/>
      <c r="DR43" s="243"/>
      <c r="DS43" s="243"/>
      <c r="DT43" s="243"/>
      <c r="DU43" s="243"/>
      <c r="DV43" s="243"/>
      <c r="DW43" s="243"/>
      <c r="DX43" s="243"/>
      <c r="DY43" s="243"/>
      <c r="DZ43" s="243"/>
      <c r="EA43" s="243"/>
      <c r="EB43" s="243"/>
      <c r="EC43" s="243"/>
      <c r="ED43" s="243"/>
      <c r="EE43" s="243"/>
      <c r="EF43" s="243"/>
      <c r="EG43" s="243"/>
      <c r="EH43" s="243"/>
      <c r="EI43" s="243"/>
      <c r="EJ43" s="243"/>
      <c r="EK43" s="243"/>
      <c r="EL43" s="243"/>
      <c r="EM43" s="243"/>
      <c r="EN43" s="243"/>
      <c r="EO43" s="243"/>
      <c r="EP43" s="243"/>
      <c r="EQ43" s="243"/>
      <c r="ER43" s="243"/>
      <c r="ES43" s="243"/>
      <c r="ET43" s="243"/>
      <c r="EU43" s="243"/>
      <c r="EV43" s="243"/>
      <c r="EW43" s="243"/>
      <c r="EX43" s="243"/>
      <c r="EY43" s="243"/>
      <c r="EZ43" s="243"/>
      <c r="FA43" s="243"/>
      <c r="FB43" s="243"/>
      <c r="FC43" s="243"/>
      <c r="FD43" s="243"/>
      <c r="FE43" s="243"/>
      <c r="FF43" s="243"/>
      <c r="FG43" s="243"/>
      <c r="FH43" s="243"/>
      <c r="FI43" s="243"/>
      <c r="FJ43" s="243"/>
      <c r="FK43" s="243"/>
      <c r="FL43" s="243"/>
      <c r="FM43" s="243"/>
      <c r="FN43" s="243"/>
      <c r="FO43" s="243"/>
      <c r="FP43" s="243"/>
      <c r="FQ43" s="243"/>
      <c r="FR43" s="243"/>
      <c r="FS43" s="243"/>
      <c r="FT43" s="243"/>
      <c r="FU43" s="243"/>
      <c r="FV43" s="243"/>
      <c r="FW43" s="243"/>
      <c r="FX43" s="243"/>
      <c r="FY43" s="243"/>
      <c r="FZ43" s="243"/>
      <c r="GA43" s="243"/>
      <c r="GB43" s="243"/>
      <c r="GC43" s="243"/>
      <c r="GD43" s="243"/>
      <c r="GE43" s="243"/>
      <c r="GF43" s="243"/>
      <c r="GG43" s="243"/>
      <c r="GH43" s="243"/>
      <c r="GI43" s="243"/>
      <c r="GJ43" s="243"/>
      <c r="GK43" s="243"/>
      <c r="GL43" s="243"/>
      <c r="GM43" s="243"/>
      <c r="GN43" s="243"/>
      <c r="GO43" s="243"/>
      <c r="GP43" s="243"/>
      <c r="GQ43" s="243"/>
      <c r="GR43" s="243"/>
      <c r="GS43" s="243"/>
      <c r="GT43" s="243"/>
      <c r="GU43" s="243"/>
      <c r="GV43" s="243"/>
      <c r="GW43" s="243"/>
      <c r="GX43" s="243"/>
      <c r="GY43" s="243"/>
      <c r="GZ43" s="243"/>
      <c r="HA43" s="243"/>
      <c r="HB43" s="243"/>
      <c r="HC43" s="243"/>
      <c r="HD43" s="243"/>
      <c r="HE43" s="243"/>
      <c r="HF43" s="243"/>
      <c r="HG43" s="243"/>
      <c r="HH43" s="243"/>
      <c r="HI43" s="243"/>
      <c r="HJ43" s="243"/>
      <c r="HK43" s="243"/>
      <c r="HL43" s="243"/>
      <c r="HM43" s="243"/>
      <c r="HN43" s="243"/>
      <c r="HO43" s="243"/>
      <c r="HP43" s="243"/>
      <c r="HQ43" s="243"/>
      <c r="HR43" s="243"/>
      <c r="HS43" s="243"/>
      <c r="HT43" s="243"/>
      <c r="HU43" s="243"/>
      <c r="HV43" s="243"/>
      <c r="HW43" s="243"/>
      <c r="HX43" s="243"/>
      <c r="HY43" s="243"/>
      <c r="HZ43" s="243"/>
      <c r="IA43" s="243"/>
    </row>
    <row r="44" spans="1:235" s="244" customFormat="1" ht="14.25" customHeight="1" x14ac:dyDescent="0.25">
      <c r="A44" s="241">
        <v>2</v>
      </c>
      <c r="B44" s="242"/>
      <c r="C44" s="366" t="s">
        <v>176</v>
      </c>
      <c r="D44" s="364" t="s">
        <v>177</v>
      </c>
      <c r="E44" s="365">
        <f>E43*0.2*1.15</f>
        <v>21.5717</v>
      </c>
      <c r="F44" s="63"/>
      <c r="G44" s="64"/>
      <c r="H44" s="65"/>
      <c r="I44" s="64"/>
      <c r="J44" s="64"/>
      <c r="K44" s="66"/>
      <c r="L44" s="67"/>
      <c r="M44" s="64"/>
      <c r="N44" s="64"/>
      <c r="O44" s="64"/>
      <c r="P44" s="68"/>
      <c r="Q44" s="69"/>
      <c r="R44" s="137"/>
      <c r="S44" s="69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3"/>
      <c r="AK44" s="243"/>
      <c r="AL44" s="243"/>
      <c r="AM44" s="243"/>
      <c r="AN44" s="243"/>
      <c r="AO44" s="243"/>
      <c r="AP44" s="243"/>
      <c r="AQ44" s="243"/>
      <c r="AR44" s="243"/>
      <c r="AS44" s="243"/>
      <c r="AT44" s="243"/>
      <c r="AU44" s="243"/>
      <c r="AV44" s="243"/>
      <c r="AW44" s="243"/>
      <c r="AX44" s="243"/>
      <c r="AY44" s="243"/>
      <c r="AZ44" s="243"/>
      <c r="BA44" s="243"/>
      <c r="BB44" s="243"/>
      <c r="BC44" s="243"/>
      <c r="BD44" s="243"/>
      <c r="BE44" s="243"/>
      <c r="BF44" s="243"/>
      <c r="BG44" s="243"/>
      <c r="BH44" s="243"/>
      <c r="BI44" s="243"/>
      <c r="BJ44" s="243"/>
      <c r="BK44" s="243"/>
      <c r="BL44" s="243"/>
      <c r="BM44" s="243"/>
      <c r="BN44" s="243"/>
      <c r="BO44" s="243"/>
      <c r="BP44" s="243"/>
      <c r="BQ44" s="243"/>
      <c r="BR44" s="243"/>
      <c r="BS44" s="243"/>
      <c r="BT44" s="243"/>
      <c r="BU44" s="243"/>
      <c r="BV44" s="243"/>
      <c r="BW44" s="243"/>
      <c r="BX44" s="243"/>
      <c r="BY44" s="243"/>
      <c r="BZ44" s="243"/>
      <c r="CA44" s="243"/>
      <c r="CB44" s="243"/>
      <c r="CC44" s="243"/>
      <c r="CD44" s="243"/>
      <c r="CE44" s="243"/>
      <c r="CF44" s="243"/>
      <c r="CG44" s="243"/>
      <c r="CH44" s="243"/>
      <c r="CI44" s="243"/>
      <c r="CJ44" s="243"/>
      <c r="CK44" s="243"/>
      <c r="CL44" s="243"/>
      <c r="CM44" s="243"/>
      <c r="CN44" s="243"/>
      <c r="CO44" s="243"/>
      <c r="CP44" s="243"/>
      <c r="CQ44" s="243"/>
      <c r="CR44" s="243"/>
      <c r="CS44" s="243"/>
      <c r="CT44" s="243"/>
      <c r="CU44" s="243"/>
      <c r="CV44" s="243"/>
      <c r="CW44" s="243"/>
      <c r="CX44" s="243"/>
      <c r="CY44" s="243"/>
      <c r="CZ44" s="243"/>
      <c r="DA44" s="243"/>
      <c r="DB44" s="243"/>
      <c r="DC44" s="243"/>
      <c r="DD44" s="243"/>
      <c r="DE44" s="243"/>
      <c r="DF44" s="243"/>
      <c r="DG44" s="243"/>
      <c r="DH44" s="243"/>
      <c r="DI44" s="243"/>
      <c r="DJ44" s="243"/>
      <c r="DK44" s="243"/>
      <c r="DL44" s="243"/>
      <c r="DM44" s="243"/>
      <c r="DN44" s="243"/>
      <c r="DO44" s="243"/>
      <c r="DP44" s="243"/>
      <c r="DQ44" s="243"/>
      <c r="DR44" s="243"/>
      <c r="DS44" s="243"/>
      <c r="DT44" s="243"/>
      <c r="DU44" s="243"/>
      <c r="DV44" s="243"/>
      <c r="DW44" s="243"/>
      <c r="DX44" s="243"/>
      <c r="DY44" s="243"/>
      <c r="DZ44" s="243"/>
      <c r="EA44" s="243"/>
      <c r="EB44" s="243"/>
      <c r="EC44" s="243"/>
      <c r="ED44" s="243"/>
      <c r="EE44" s="243"/>
      <c r="EF44" s="243"/>
      <c r="EG44" s="243"/>
      <c r="EH44" s="243"/>
      <c r="EI44" s="243"/>
      <c r="EJ44" s="243"/>
      <c r="EK44" s="243"/>
      <c r="EL44" s="243"/>
      <c r="EM44" s="243"/>
      <c r="EN44" s="243"/>
      <c r="EO44" s="243"/>
      <c r="EP44" s="243"/>
      <c r="EQ44" s="243"/>
      <c r="ER44" s="243"/>
      <c r="ES44" s="243"/>
      <c r="ET44" s="243"/>
      <c r="EU44" s="243"/>
      <c r="EV44" s="243"/>
      <c r="EW44" s="243"/>
      <c r="EX44" s="243"/>
      <c r="EY44" s="243"/>
      <c r="EZ44" s="243"/>
      <c r="FA44" s="243"/>
      <c r="FB44" s="243"/>
      <c r="FC44" s="243"/>
      <c r="FD44" s="243"/>
      <c r="FE44" s="243"/>
      <c r="FF44" s="243"/>
      <c r="FG44" s="243"/>
      <c r="FH44" s="243"/>
      <c r="FI44" s="243"/>
      <c r="FJ44" s="243"/>
      <c r="FK44" s="243"/>
      <c r="FL44" s="243"/>
      <c r="FM44" s="243"/>
      <c r="FN44" s="243"/>
      <c r="FO44" s="243"/>
      <c r="FP44" s="243"/>
      <c r="FQ44" s="243"/>
      <c r="FR44" s="243"/>
      <c r="FS44" s="243"/>
      <c r="FT44" s="243"/>
      <c r="FU44" s="243"/>
      <c r="FV44" s="243"/>
      <c r="FW44" s="243"/>
      <c r="FX44" s="243"/>
      <c r="FY44" s="243"/>
      <c r="FZ44" s="243"/>
      <c r="GA44" s="243"/>
      <c r="GB44" s="243"/>
      <c r="GC44" s="243"/>
      <c r="GD44" s="243"/>
      <c r="GE44" s="243"/>
      <c r="GF44" s="243"/>
      <c r="GG44" s="243"/>
      <c r="GH44" s="243"/>
      <c r="GI44" s="243"/>
      <c r="GJ44" s="243"/>
      <c r="GK44" s="243"/>
      <c r="GL44" s="243"/>
      <c r="GM44" s="243"/>
      <c r="GN44" s="243"/>
      <c r="GO44" s="243"/>
      <c r="GP44" s="243"/>
      <c r="GQ44" s="243"/>
      <c r="GR44" s="243"/>
      <c r="GS44" s="243"/>
      <c r="GT44" s="243"/>
      <c r="GU44" s="243"/>
      <c r="GV44" s="243"/>
      <c r="GW44" s="243"/>
      <c r="GX44" s="243"/>
      <c r="GY44" s="243"/>
      <c r="GZ44" s="243"/>
      <c r="HA44" s="243"/>
      <c r="HB44" s="243"/>
      <c r="HC44" s="243"/>
      <c r="HD44" s="243"/>
      <c r="HE44" s="243"/>
      <c r="HF44" s="243"/>
      <c r="HG44" s="243"/>
      <c r="HH44" s="243"/>
      <c r="HI44" s="243"/>
      <c r="HJ44" s="243"/>
      <c r="HK44" s="243"/>
      <c r="HL44" s="243"/>
      <c r="HM44" s="243"/>
      <c r="HN44" s="243"/>
      <c r="HO44" s="243"/>
      <c r="HP44" s="243"/>
      <c r="HQ44" s="243"/>
      <c r="HR44" s="243"/>
      <c r="HS44" s="243"/>
      <c r="HT44" s="243"/>
      <c r="HU44" s="243"/>
      <c r="HV44" s="243"/>
      <c r="HW44" s="243"/>
      <c r="HX44" s="243"/>
      <c r="HY44" s="243"/>
      <c r="HZ44" s="243"/>
      <c r="IA44" s="243"/>
    </row>
    <row r="45" spans="1:235" s="244" customFormat="1" ht="14.25" customHeight="1" x14ac:dyDescent="0.25">
      <c r="A45" s="241">
        <v>3</v>
      </c>
      <c r="B45" s="242"/>
      <c r="C45" s="366" t="s">
        <v>308</v>
      </c>
      <c r="D45" s="364" t="s">
        <v>180</v>
      </c>
      <c r="E45" s="365">
        <f>E43*1.8*5*1.1</f>
        <v>928.52100000000007</v>
      </c>
      <c r="F45" s="63"/>
      <c r="G45" s="64"/>
      <c r="H45" s="65"/>
      <c r="I45" s="64"/>
      <c r="J45" s="64"/>
      <c r="K45" s="66"/>
      <c r="L45" s="67"/>
      <c r="M45" s="64"/>
      <c r="N45" s="64"/>
      <c r="O45" s="64"/>
      <c r="P45" s="68"/>
      <c r="Q45" s="69"/>
      <c r="R45" s="137"/>
      <c r="S45" s="69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3"/>
      <c r="AR45" s="243"/>
      <c r="AS45" s="243"/>
      <c r="AT45" s="243"/>
      <c r="AU45" s="243"/>
      <c r="AV45" s="243"/>
      <c r="AW45" s="243"/>
      <c r="AX45" s="243"/>
      <c r="AY45" s="243"/>
      <c r="AZ45" s="243"/>
      <c r="BA45" s="243"/>
      <c r="BB45" s="243"/>
      <c r="BC45" s="243"/>
      <c r="BD45" s="243"/>
      <c r="BE45" s="243"/>
      <c r="BF45" s="243"/>
      <c r="BG45" s="243"/>
      <c r="BH45" s="243"/>
      <c r="BI45" s="243"/>
      <c r="BJ45" s="243"/>
      <c r="BK45" s="243"/>
      <c r="BL45" s="243"/>
      <c r="BM45" s="243"/>
      <c r="BN45" s="243"/>
      <c r="BO45" s="243"/>
      <c r="BP45" s="243"/>
      <c r="BQ45" s="243"/>
      <c r="BR45" s="243"/>
      <c r="BS45" s="243"/>
      <c r="BT45" s="243"/>
      <c r="BU45" s="243"/>
      <c r="BV45" s="243"/>
      <c r="BW45" s="243"/>
      <c r="BX45" s="243"/>
      <c r="BY45" s="243"/>
      <c r="BZ45" s="243"/>
      <c r="CA45" s="243"/>
      <c r="CB45" s="243"/>
      <c r="CC45" s="243"/>
      <c r="CD45" s="243"/>
      <c r="CE45" s="243"/>
      <c r="CF45" s="243"/>
      <c r="CG45" s="243"/>
      <c r="CH45" s="243"/>
      <c r="CI45" s="243"/>
      <c r="CJ45" s="243"/>
      <c r="CK45" s="243"/>
      <c r="CL45" s="243"/>
      <c r="CM45" s="243"/>
      <c r="CN45" s="243"/>
      <c r="CO45" s="243"/>
      <c r="CP45" s="243"/>
      <c r="CQ45" s="243"/>
      <c r="CR45" s="243"/>
      <c r="CS45" s="243"/>
      <c r="CT45" s="243"/>
      <c r="CU45" s="243"/>
      <c r="CV45" s="243"/>
      <c r="CW45" s="243"/>
      <c r="CX45" s="243"/>
      <c r="CY45" s="243"/>
      <c r="CZ45" s="243"/>
      <c r="DA45" s="243"/>
      <c r="DB45" s="243"/>
      <c r="DC45" s="243"/>
      <c r="DD45" s="243"/>
      <c r="DE45" s="243"/>
      <c r="DF45" s="243"/>
      <c r="DG45" s="243"/>
      <c r="DH45" s="243"/>
      <c r="DI45" s="243"/>
      <c r="DJ45" s="243"/>
      <c r="DK45" s="243"/>
      <c r="DL45" s="243"/>
      <c r="DM45" s="243"/>
      <c r="DN45" s="243"/>
      <c r="DO45" s="243"/>
      <c r="DP45" s="243"/>
      <c r="DQ45" s="243"/>
      <c r="DR45" s="243"/>
      <c r="DS45" s="243"/>
      <c r="DT45" s="243"/>
      <c r="DU45" s="243"/>
      <c r="DV45" s="243"/>
      <c r="DW45" s="243"/>
      <c r="DX45" s="243"/>
      <c r="DY45" s="243"/>
      <c r="DZ45" s="243"/>
      <c r="EA45" s="243"/>
      <c r="EB45" s="243"/>
      <c r="EC45" s="243"/>
      <c r="ED45" s="243"/>
      <c r="EE45" s="243"/>
      <c r="EF45" s="243"/>
      <c r="EG45" s="243"/>
      <c r="EH45" s="243"/>
      <c r="EI45" s="243"/>
      <c r="EJ45" s="243"/>
      <c r="EK45" s="243"/>
      <c r="EL45" s="243"/>
      <c r="EM45" s="243"/>
      <c r="EN45" s="243"/>
      <c r="EO45" s="243"/>
      <c r="EP45" s="243"/>
      <c r="EQ45" s="243"/>
      <c r="ER45" s="243"/>
      <c r="ES45" s="243"/>
      <c r="ET45" s="243"/>
      <c r="EU45" s="243"/>
      <c r="EV45" s="243"/>
      <c r="EW45" s="243"/>
      <c r="EX45" s="243"/>
      <c r="EY45" s="243"/>
      <c r="EZ45" s="243"/>
      <c r="FA45" s="243"/>
      <c r="FB45" s="243"/>
      <c r="FC45" s="243"/>
      <c r="FD45" s="243"/>
      <c r="FE45" s="243"/>
      <c r="FF45" s="243"/>
      <c r="FG45" s="243"/>
      <c r="FH45" s="243"/>
      <c r="FI45" s="243"/>
      <c r="FJ45" s="243"/>
      <c r="FK45" s="243"/>
      <c r="FL45" s="243"/>
      <c r="FM45" s="243"/>
      <c r="FN45" s="243"/>
      <c r="FO45" s="243"/>
      <c r="FP45" s="243"/>
      <c r="FQ45" s="243"/>
      <c r="FR45" s="243"/>
      <c r="FS45" s="243"/>
      <c r="FT45" s="243"/>
      <c r="FU45" s="243"/>
      <c r="FV45" s="243"/>
      <c r="FW45" s="243"/>
      <c r="FX45" s="243"/>
      <c r="FY45" s="243"/>
      <c r="FZ45" s="243"/>
      <c r="GA45" s="243"/>
      <c r="GB45" s="243"/>
      <c r="GC45" s="243"/>
      <c r="GD45" s="243"/>
      <c r="GE45" s="243"/>
      <c r="GF45" s="243"/>
      <c r="GG45" s="243"/>
      <c r="GH45" s="243"/>
      <c r="GI45" s="243"/>
      <c r="GJ45" s="243"/>
      <c r="GK45" s="243"/>
      <c r="GL45" s="243"/>
      <c r="GM45" s="243"/>
      <c r="GN45" s="243"/>
      <c r="GO45" s="243"/>
      <c r="GP45" s="243"/>
      <c r="GQ45" s="243"/>
      <c r="GR45" s="243"/>
      <c r="GS45" s="243"/>
      <c r="GT45" s="243"/>
      <c r="GU45" s="243"/>
      <c r="GV45" s="243"/>
      <c r="GW45" s="243"/>
      <c r="GX45" s="243"/>
      <c r="GY45" s="243"/>
      <c r="GZ45" s="243"/>
      <c r="HA45" s="243"/>
      <c r="HB45" s="243"/>
      <c r="HC45" s="243"/>
      <c r="HD45" s="243"/>
      <c r="HE45" s="243"/>
      <c r="HF45" s="243"/>
      <c r="HG45" s="243"/>
      <c r="HH45" s="243"/>
      <c r="HI45" s="243"/>
      <c r="HJ45" s="243"/>
      <c r="HK45" s="243"/>
      <c r="HL45" s="243"/>
      <c r="HM45" s="243"/>
      <c r="HN45" s="243"/>
      <c r="HO45" s="243"/>
      <c r="HP45" s="243"/>
      <c r="HQ45" s="243"/>
      <c r="HR45" s="243"/>
      <c r="HS45" s="243"/>
      <c r="HT45" s="243"/>
      <c r="HU45" s="243"/>
      <c r="HV45" s="243"/>
      <c r="HW45" s="243"/>
      <c r="HX45" s="243"/>
      <c r="HY45" s="243"/>
      <c r="HZ45" s="243"/>
      <c r="IA45" s="243"/>
    </row>
    <row r="46" spans="1:235" s="244" customFormat="1" ht="14.25" customHeight="1" x14ac:dyDescent="0.25">
      <c r="A46" s="241">
        <v>4</v>
      </c>
      <c r="B46" s="242"/>
      <c r="C46" s="366" t="s">
        <v>194</v>
      </c>
      <c r="D46" s="364" t="s">
        <v>124</v>
      </c>
      <c r="E46" s="365">
        <f>E43</f>
        <v>93.79</v>
      </c>
      <c r="F46" s="63"/>
      <c r="G46" s="64"/>
      <c r="H46" s="65"/>
      <c r="I46" s="64"/>
      <c r="J46" s="64"/>
      <c r="K46" s="66"/>
      <c r="L46" s="67"/>
      <c r="M46" s="64"/>
      <c r="N46" s="64"/>
      <c r="O46" s="64"/>
      <c r="P46" s="68"/>
      <c r="Q46" s="69"/>
      <c r="R46" s="137"/>
      <c r="S46" s="69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  <c r="AP46" s="243"/>
      <c r="AQ46" s="243"/>
      <c r="AR46" s="243"/>
      <c r="AS46" s="243"/>
      <c r="AT46" s="243"/>
      <c r="AU46" s="243"/>
      <c r="AV46" s="243"/>
      <c r="AW46" s="243"/>
      <c r="AX46" s="243"/>
      <c r="AY46" s="243"/>
      <c r="AZ46" s="243"/>
      <c r="BA46" s="243"/>
      <c r="BB46" s="243"/>
      <c r="BC46" s="243"/>
      <c r="BD46" s="243"/>
      <c r="BE46" s="243"/>
      <c r="BF46" s="243"/>
      <c r="BG46" s="243"/>
      <c r="BH46" s="243"/>
      <c r="BI46" s="243"/>
      <c r="BJ46" s="243"/>
      <c r="BK46" s="243"/>
      <c r="BL46" s="243"/>
      <c r="BM46" s="243"/>
      <c r="BN46" s="243"/>
      <c r="BO46" s="243"/>
      <c r="BP46" s="243"/>
      <c r="BQ46" s="243"/>
      <c r="BR46" s="243"/>
      <c r="BS46" s="243"/>
      <c r="BT46" s="243"/>
      <c r="BU46" s="243"/>
      <c r="BV46" s="243"/>
      <c r="BW46" s="243"/>
      <c r="BX46" s="243"/>
      <c r="BY46" s="243"/>
      <c r="BZ46" s="243"/>
      <c r="CA46" s="243"/>
      <c r="CB46" s="243"/>
      <c r="CC46" s="243"/>
      <c r="CD46" s="243"/>
      <c r="CE46" s="243"/>
      <c r="CF46" s="243"/>
      <c r="CG46" s="243"/>
      <c r="CH46" s="243"/>
      <c r="CI46" s="243"/>
      <c r="CJ46" s="243"/>
      <c r="CK46" s="243"/>
      <c r="CL46" s="243"/>
      <c r="CM46" s="243"/>
      <c r="CN46" s="243"/>
      <c r="CO46" s="243"/>
      <c r="CP46" s="243"/>
      <c r="CQ46" s="243"/>
      <c r="CR46" s="243"/>
      <c r="CS46" s="243"/>
      <c r="CT46" s="243"/>
      <c r="CU46" s="243"/>
      <c r="CV46" s="243"/>
      <c r="CW46" s="243"/>
      <c r="CX46" s="243"/>
      <c r="CY46" s="243"/>
      <c r="CZ46" s="243"/>
      <c r="DA46" s="243"/>
      <c r="DB46" s="243"/>
      <c r="DC46" s="243"/>
      <c r="DD46" s="243"/>
      <c r="DE46" s="243"/>
      <c r="DF46" s="243"/>
      <c r="DG46" s="243"/>
      <c r="DH46" s="243"/>
      <c r="DI46" s="243"/>
      <c r="DJ46" s="243"/>
      <c r="DK46" s="243"/>
      <c r="DL46" s="243"/>
      <c r="DM46" s="243"/>
      <c r="DN46" s="243"/>
      <c r="DO46" s="243"/>
      <c r="DP46" s="243"/>
      <c r="DQ46" s="243"/>
      <c r="DR46" s="243"/>
      <c r="DS46" s="243"/>
      <c r="DT46" s="243"/>
      <c r="DU46" s="243"/>
      <c r="DV46" s="243"/>
      <c r="DW46" s="243"/>
      <c r="DX46" s="243"/>
      <c r="DY46" s="243"/>
      <c r="DZ46" s="243"/>
      <c r="EA46" s="243"/>
      <c r="EB46" s="243"/>
      <c r="EC46" s="243"/>
      <c r="ED46" s="243"/>
      <c r="EE46" s="243"/>
      <c r="EF46" s="243"/>
      <c r="EG46" s="243"/>
      <c r="EH46" s="243"/>
      <c r="EI46" s="243"/>
      <c r="EJ46" s="243"/>
      <c r="EK46" s="243"/>
      <c r="EL46" s="243"/>
      <c r="EM46" s="243"/>
      <c r="EN46" s="243"/>
      <c r="EO46" s="243"/>
      <c r="EP46" s="243"/>
      <c r="EQ46" s="243"/>
      <c r="ER46" s="243"/>
      <c r="ES46" s="243"/>
      <c r="ET46" s="243"/>
      <c r="EU46" s="243"/>
      <c r="EV46" s="243"/>
      <c r="EW46" s="243"/>
      <c r="EX46" s="243"/>
      <c r="EY46" s="243"/>
      <c r="EZ46" s="243"/>
      <c r="FA46" s="243"/>
      <c r="FB46" s="243"/>
      <c r="FC46" s="243"/>
      <c r="FD46" s="243"/>
      <c r="FE46" s="243"/>
      <c r="FF46" s="243"/>
      <c r="FG46" s="243"/>
      <c r="FH46" s="243"/>
      <c r="FI46" s="243"/>
      <c r="FJ46" s="243"/>
      <c r="FK46" s="243"/>
      <c r="FL46" s="243"/>
      <c r="FM46" s="243"/>
      <c r="FN46" s="243"/>
      <c r="FO46" s="243"/>
      <c r="FP46" s="243"/>
      <c r="FQ46" s="243"/>
      <c r="FR46" s="243"/>
      <c r="FS46" s="243"/>
      <c r="FT46" s="243"/>
      <c r="FU46" s="243"/>
      <c r="FV46" s="243"/>
      <c r="FW46" s="243"/>
      <c r="FX46" s="243"/>
      <c r="FY46" s="243"/>
      <c r="FZ46" s="243"/>
      <c r="GA46" s="243"/>
      <c r="GB46" s="243"/>
      <c r="GC46" s="243"/>
      <c r="GD46" s="243"/>
      <c r="GE46" s="243"/>
      <c r="GF46" s="243"/>
      <c r="GG46" s="243"/>
      <c r="GH46" s="243"/>
      <c r="GI46" s="243"/>
      <c r="GJ46" s="243"/>
      <c r="GK46" s="243"/>
      <c r="GL46" s="243"/>
      <c r="GM46" s="243"/>
      <c r="GN46" s="243"/>
      <c r="GO46" s="243"/>
      <c r="GP46" s="243"/>
      <c r="GQ46" s="243"/>
      <c r="GR46" s="243"/>
      <c r="GS46" s="243"/>
      <c r="GT46" s="243"/>
      <c r="GU46" s="243"/>
      <c r="GV46" s="243"/>
      <c r="GW46" s="243"/>
      <c r="GX46" s="243"/>
      <c r="GY46" s="243"/>
      <c r="GZ46" s="243"/>
      <c r="HA46" s="243"/>
      <c r="HB46" s="243"/>
      <c r="HC46" s="243"/>
      <c r="HD46" s="243"/>
      <c r="HE46" s="243"/>
      <c r="HF46" s="243"/>
      <c r="HG46" s="243"/>
      <c r="HH46" s="243"/>
      <c r="HI46" s="243"/>
      <c r="HJ46" s="243"/>
      <c r="HK46" s="243"/>
      <c r="HL46" s="243"/>
      <c r="HM46" s="243"/>
      <c r="HN46" s="243"/>
      <c r="HO46" s="243"/>
      <c r="HP46" s="243"/>
      <c r="HQ46" s="243"/>
      <c r="HR46" s="243"/>
      <c r="HS46" s="243"/>
      <c r="HT46" s="243"/>
      <c r="HU46" s="243"/>
      <c r="HV46" s="243"/>
      <c r="HW46" s="243"/>
      <c r="HX46" s="243"/>
      <c r="HY46" s="243"/>
      <c r="HZ46" s="243"/>
      <c r="IA46" s="243"/>
    </row>
    <row r="47" spans="1:235" s="244" customFormat="1" ht="14.25" customHeight="1" x14ac:dyDescent="0.25">
      <c r="A47" s="241">
        <v>5</v>
      </c>
      <c r="B47" s="242" t="s">
        <v>108</v>
      </c>
      <c r="C47" s="363" t="s">
        <v>309</v>
      </c>
      <c r="D47" s="364" t="s">
        <v>124</v>
      </c>
      <c r="E47" s="365">
        <f>E43</f>
        <v>93.79</v>
      </c>
      <c r="F47" s="63"/>
      <c r="G47" s="64"/>
      <c r="H47" s="65"/>
      <c r="I47" s="64"/>
      <c r="J47" s="64"/>
      <c r="K47" s="66"/>
      <c r="L47" s="67"/>
      <c r="M47" s="64"/>
      <c r="N47" s="64"/>
      <c r="O47" s="64"/>
      <c r="P47" s="68"/>
      <c r="Q47" s="69"/>
      <c r="R47" s="137"/>
      <c r="S47" s="69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  <c r="AP47" s="243"/>
      <c r="AQ47" s="243"/>
      <c r="AR47" s="243"/>
      <c r="AS47" s="243"/>
      <c r="AT47" s="243"/>
      <c r="AU47" s="243"/>
      <c r="AV47" s="243"/>
      <c r="AW47" s="243"/>
      <c r="AX47" s="243"/>
      <c r="AY47" s="243"/>
      <c r="AZ47" s="243"/>
      <c r="BA47" s="243"/>
      <c r="BB47" s="243"/>
      <c r="BC47" s="243"/>
      <c r="BD47" s="243"/>
      <c r="BE47" s="243"/>
      <c r="BF47" s="243"/>
      <c r="BG47" s="243"/>
      <c r="BH47" s="243"/>
      <c r="BI47" s="243"/>
      <c r="BJ47" s="243"/>
      <c r="BK47" s="243"/>
      <c r="BL47" s="243"/>
      <c r="BM47" s="243"/>
      <c r="BN47" s="243"/>
      <c r="BO47" s="243"/>
      <c r="BP47" s="243"/>
      <c r="BQ47" s="243"/>
      <c r="BR47" s="243"/>
      <c r="BS47" s="243"/>
      <c r="BT47" s="243"/>
      <c r="BU47" s="243"/>
      <c r="BV47" s="243"/>
      <c r="BW47" s="243"/>
      <c r="BX47" s="243"/>
      <c r="BY47" s="243"/>
      <c r="BZ47" s="243"/>
      <c r="CA47" s="243"/>
      <c r="CB47" s="243"/>
      <c r="CC47" s="243"/>
      <c r="CD47" s="243"/>
      <c r="CE47" s="243"/>
      <c r="CF47" s="243"/>
      <c r="CG47" s="243"/>
      <c r="CH47" s="243"/>
      <c r="CI47" s="243"/>
      <c r="CJ47" s="243"/>
      <c r="CK47" s="243"/>
      <c r="CL47" s="243"/>
      <c r="CM47" s="243"/>
      <c r="CN47" s="243"/>
      <c r="CO47" s="243"/>
      <c r="CP47" s="243"/>
      <c r="CQ47" s="243"/>
      <c r="CR47" s="243"/>
      <c r="CS47" s="243"/>
      <c r="CT47" s="243"/>
      <c r="CU47" s="243"/>
      <c r="CV47" s="243"/>
      <c r="CW47" s="243"/>
      <c r="CX47" s="243"/>
      <c r="CY47" s="243"/>
      <c r="CZ47" s="243"/>
      <c r="DA47" s="243"/>
      <c r="DB47" s="243"/>
      <c r="DC47" s="243"/>
      <c r="DD47" s="243"/>
      <c r="DE47" s="243"/>
      <c r="DF47" s="243"/>
      <c r="DG47" s="243"/>
      <c r="DH47" s="243"/>
      <c r="DI47" s="243"/>
      <c r="DJ47" s="243"/>
      <c r="DK47" s="243"/>
      <c r="DL47" s="243"/>
      <c r="DM47" s="243"/>
      <c r="DN47" s="243"/>
      <c r="DO47" s="243"/>
      <c r="DP47" s="243"/>
      <c r="DQ47" s="243"/>
      <c r="DR47" s="243"/>
      <c r="DS47" s="243"/>
      <c r="DT47" s="243"/>
      <c r="DU47" s="243"/>
      <c r="DV47" s="243"/>
      <c r="DW47" s="243"/>
      <c r="DX47" s="243"/>
      <c r="DY47" s="243"/>
      <c r="DZ47" s="243"/>
      <c r="EA47" s="243"/>
      <c r="EB47" s="243"/>
      <c r="EC47" s="243"/>
      <c r="ED47" s="243"/>
      <c r="EE47" s="243"/>
      <c r="EF47" s="243"/>
      <c r="EG47" s="243"/>
      <c r="EH47" s="243"/>
      <c r="EI47" s="243"/>
      <c r="EJ47" s="243"/>
      <c r="EK47" s="243"/>
      <c r="EL47" s="243"/>
      <c r="EM47" s="243"/>
      <c r="EN47" s="243"/>
      <c r="EO47" s="243"/>
      <c r="EP47" s="243"/>
      <c r="EQ47" s="243"/>
      <c r="ER47" s="243"/>
      <c r="ES47" s="243"/>
      <c r="ET47" s="243"/>
      <c r="EU47" s="243"/>
      <c r="EV47" s="243"/>
      <c r="EW47" s="243"/>
      <c r="EX47" s="243"/>
      <c r="EY47" s="243"/>
      <c r="EZ47" s="243"/>
      <c r="FA47" s="243"/>
      <c r="FB47" s="243"/>
      <c r="FC47" s="243"/>
      <c r="FD47" s="243"/>
      <c r="FE47" s="243"/>
      <c r="FF47" s="243"/>
      <c r="FG47" s="243"/>
      <c r="FH47" s="243"/>
      <c r="FI47" s="243"/>
      <c r="FJ47" s="243"/>
      <c r="FK47" s="243"/>
      <c r="FL47" s="243"/>
      <c r="FM47" s="243"/>
      <c r="FN47" s="243"/>
      <c r="FO47" s="243"/>
      <c r="FP47" s="243"/>
      <c r="FQ47" s="243"/>
      <c r="FR47" s="243"/>
      <c r="FS47" s="243"/>
      <c r="FT47" s="243"/>
      <c r="FU47" s="243"/>
      <c r="FV47" s="243"/>
      <c r="FW47" s="243"/>
      <c r="FX47" s="243"/>
      <c r="FY47" s="243"/>
      <c r="FZ47" s="243"/>
      <c r="GA47" s="243"/>
      <c r="GB47" s="243"/>
      <c r="GC47" s="243"/>
      <c r="GD47" s="243"/>
      <c r="GE47" s="243"/>
      <c r="GF47" s="243"/>
      <c r="GG47" s="243"/>
      <c r="GH47" s="243"/>
      <c r="GI47" s="243"/>
      <c r="GJ47" s="243"/>
      <c r="GK47" s="243"/>
      <c r="GL47" s="243"/>
      <c r="GM47" s="243"/>
      <c r="GN47" s="243"/>
      <c r="GO47" s="243"/>
      <c r="GP47" s="243"/>
      <c r="GQ47" s="243"/>
      <c r="GR47" s="243"/>
      <c r="GS47" s="243"/>
      <c r="GT47" s="243"/>
      <c r="GU47" s="243"/>
      <c r="GV47" s="243"/>
      <c r="GW47" s="243"/>
      <c r="GX47" s="243"/>
      <c r="GY47" s="243"/>
      <c r="GZ47" s="243"/>
      <c r="HA47" s="243"/>
      <c r="HB47" s="243"/>
      <c r="HC47" s="243"/>
      <c r="HD47" s="243"/>
      <c r="HE47" s="243"/>
      <c r="HF47" s="243"/>
      <c r="HG47" s="243"/>
      <c r="HH47" s="243"/>
      <c r="HI47" s="243"/>
      <c r="HJ47" s="243"/>
      <c r="HK47" s="243"/>
      <c r="HL47" s="243"/>
      <c r="HM47" s="243"/>
      <c r="HN47" s="243"/>
      <c r="HO47" s="243"/>
      <c r="HP47" s="243"/>
      <c r="HQ47" s="243"/>
      <c r="HR47" s="243"/>
      <c r="HS47" s="243"/>
      <c r="HT47" s="243"/>
      <c r="HU47" s="243"/>
      <c r="HV47" s="243"/>
      <c r="HW47" s="243"/>
      <c r="HX47" s="243"/>
      <c r="HY47" s="243"/>
      <c r="HZ47" s="243"/>
      <c r="IA47" s="243"/>
    </row>
    <row r="48" spans="1:235" s="244" customFormat="1" ht="52.5" customHeight="1" x14ac:dyDescent="0.25">
      <c r="A48" s="241">
        <v>6</v>
      </c>
      <c r="B48" s="242"/>
      <c r="C48" s="366" t="s">
        <v>676</v>
      </c>
      <c r="D48" s="364" t="s">
        <v>124</v>
      </c>
      <c r="E48" s="365">
        <f>E47*1.2</f>
        <v>112.548</v>
      </c>
      <c r="F48" s="63"/>
      <c r="G48" s="64"/>
      <c r="H48" s="65"/>
      <c r="I48" s="64"/>
      <c r="J48" s="64"/>
      <c r="K48" s="66"/>
      <c r="L48" s="67"/>
      <c r="M48" s="64"/>
      <c r="N48" s="64"/>
      <c r="O48" s="64"/>
      <c r="P48" s="68"/>
      <c r="Q48" s="69"/>
      <c r="R48" s="137"/>
      <c r="S48" s="69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3"/>
      <c r="AL48" s="243"/>
      <c r="AM48" s="243"/>
      <c r="AN48" s="243"/>
      <c r="AO48" s="243"/>
      <c r="AP48" s="243"/>
      <c r="AQ48" s="243"/>
      <c r="AR48" s="243"/>
      <c r="AS48" s="243"/>
      <c r="AT48" s="243"/>
      <c r="AU48" s="243"/>
      <c r="AV48" s="243"/>
      <c r="AW48" s="243"/>
      <c r="AX48" s="243"/>
      <c r="AY48" s="243"/>
      <c r="AZ48" s="243"/>
      <c r="BA48" s="243"/>
      <c r="BB48" s="243"/>
      <c r="BC48" s="243"/>
      <c r="BD48" s="243"/>
      <c r="BE48" s="243"/>
      <c r="BF48" s="243"/>
      <c r="BG48" s="243"/>
      <c r="BH48" s="243"/>
      <c r="BI48" s="243"/>
      <c r="BJ48" s="243"/>
      <c r="BK48" s="243"/>
      <c r="BL48" s="243"/>
      <c r="BM48" s="243"/>
      <c r="BN48" s="243"/>
      <c r="BO48" s="243"/>
      <c r="BP48" s="243"/>
      <c r="BQ48" s="243"/>
      <c r="BR48" s="243"/>
      <c r="BS48" s="243"/>
      <c r="BT48" s="243"/>
      <c r="BU48" s="243"/>
      <c r="BV48" s="243"/>
      <c r="BW48" s="243"/>
      <c r="BX48" s="243"/>
      <c r="BY48" s="243"/>
      <c r="BZ48" s="243"/>
      <c r="CA48" s="243"/>
      <c r="CB48" s="243"/>
      <c r="CC48" s="243"/>
      <c r="CD48" s="243"/>
      <c r="CE48" s="243"/>
      <c r="CF48" s="243"/>
      <c r="CG48" s="243"/>
      <c r="CH48" s="243"/>
      <c r="CI48" s="243"/>
      <c r="CJ48" s="243"/>
      <c r="CK48" s="243"/>
      <c r="CL48" s="243"/>
      <c r="CM48" s="243"/>
      <c r="CN48" s="243"/>
      <c r="CO48" s="243"/>
      <c r="CP48" s="243"/>
      <c r="CQ48" s="243"/>
      <c r="CR48" s="243"/>
      <c r="CS48" s="243"/>
      <c r="CT48" s="243"/>
      <c r="CU48" s="243"/>
      <c r="CV48" s="243"/>
      <c r="CW48" s="243"/>
      <c r="CX48" s="243"/>
      <c r="CY48" s="243"/>
      <c r="CZ48" s="243"/>
      <c r="DA48" s="243"/>
      <c r="DB48" s="243"/>
      <c r="DC48" s="243"/>
      <c r="DD48" s="243"/>
      <c r="DE48" s="243"/>
      <c r="DF48" s="243"/>
      <c r="DG48" s="243"/>
      <c r="DH48" s="243"/>
      <c r="DI48" s="243"/>
      <c r="DJ48" s="243"/>
      <c r="DK48" s="243"/>
      <c r="DL48" s="243"/>
      <c r="DM48" s="243"/>
      <c r="DN48" s="243"/>
      <c r="DO48" s="243"/>
      <c r="DP48" s="243"/>
      <c r="DQ48" s="243"/>
      <c r="DR48" s="243"/>
      <c r="DS48" s="243"/>
      <c r="DT48" s="243"/>
      <c r="DU48" s="243"/>
      <c r="DV48" s="243"/>
      <c r="DW48" s="243"/>
      <c r="DX48" s="243"/>
      <c r="DY48" s="243"/>
      <c r="DZ48" s="243"/>
      <c r="EA48" s="243"/>
      <c r="EB48" s="243"/>
      <c r="EC48" s="243"/>
      <c r="ED48" s="243"/>
      <c r="EE48" s="243"/>
      <c r="EF48" s="243"/>
      <c r="EG48" s="243"/>
      <c r="EH48" s="243"/>
      <c r="EI48" s="243"/>
      <c r="EJ48" s="243"/>
      <c r="EK48" s="243"/>
      <c r="EL48" s="243"/>
      <c r="EM48" s="243"/>
      <c r="EN48" s="243"/>
      <c r="EO48" s="243"/>
      <c r="EP48" s="243"/>
      <c r="EQ48" s="243"/>
      <c r="ER48" s="243"/>
      <c r="ES48" s="243"/>
      <c r="ET48" s="243"/>
      <c r="EU48" s="243"/>
      <c r="EV48" s="243"/>
      <c r="EW48" s="243"/>
      <c r="EX48" s="243"/>
      <c r="EY48" s="243"/>
      <c r="EZ48" s="243"/>
      <c r="FA48" s="243"/>
      <c r="FB48" s="243"/>
      <c r="FC48" s="243"/>
      <c r="FD48" s="243"/>
      <c r="FE48" s="243"/>
      <c r="FF48" s="243"/>
      <c r="FG48" s="243"/>
      <c r="FH48" s="243"/>
      <c r="FI48" s="243"/>
      <c r="FJ48" s="243"/>
      <c r="FK48" s="243"/>
      <c r="FL48" s="243"/>
      <c r="FM48" s="243"/>
      <c r="FN48" s="243"/>
      <c r="FO48" s="243"/>
      <c r="FP48" s="243"/>
      <c r="FQ48" s="243"/>
      <c r="FR48" s="243"/>
      <c r="FS48" s="243"/>
      <c r="FT48" s="243"/>
      <c r="FU48" s="243"/>
      <c r="FV48" s="243"/>
      <c r="FW48" s="243"/>
      <c r="FX48" s="243"/>
      <c r="FY48" s="243"/>
      <c r="FZ48" s="243"/>
      <c r="GA48" s="243"/>
      <c r="GB48" s="243"/>
      <c r="GC48" s="243"/>
      <c r="GD48" s="243"/>
      <c r="GE48" s="243"/>
      <c r="GF48" s="243"/>
      <c r="GG48" s="243"/>
      <c r="GH48" s="243"/>
      <c r="GI48" s="243"/>
      <c r="GJ48" s="243"/>
      <c r="GK48" s="243"/>
      <c r="GL48" s="243"/>
      <c r="GM48" s="243"/>
      <c r="GN48" s="243"/>
      <c r="GO48" s="243"/>
      <c r="GP48" s="243"/>
      <c r="GQ48" s="243"/>
      <c r="GR48" s="243"/>
      <c r="GS48" s="243"/>
      <c r="GT48" s="243"/>
      <c r="GU48" s="243"/>
      <c r="GV48" s="243"/>
      <c r="GW48" s="243"/>
      <c r="GX48" s="243"/>
      <c r="GY48" s="243"/>
      <c r="GZ48" s="243"/>
      <c r="HA48" s="243"/>
      <c r="HB48" s="243"/>
      <c r="HC48" s="243"/>
      <c r="HD48" s="243"/>
      <c r="HE48" s="243"/>
      <c r="HF48" s="243"/>
      <c r="HG48" s="243"/>
      <c r="HH48" s="243"/>
      <c r="HI48" s="243"/>
      <c r="HJ48" s="243"/>
      <c r="HK48" s="243"/>
      <c r="HL48" s="243"/>
      <c r="HM48" s="243"/>
      <c r="HN48" s="243"/>
      <c r="HO48" s="243"/>
      <c r="HP48" s="243"/>
      <c r="HQ48" s="243"/>
      <c r="HR48" s="243"/>
      <c r="HS48" s="243"/>
      <c r="HT48" s="243"/>
      <c r="HU48" s="243"/>
      <c r="HV48" s="243"/>
      <c r="HW48" s="243"/>
      <c r="HX48" s="243"/>
      <c r="HY48" s="243"/>
      <c r="HZ48" s="243"/>
      <c r="IA48" s="243"/>
    </row>
    <row r="49" spans="1:235" s="244" customFormat="1" ht="14.25" customHeight="1" x14ac:dyDescent="0.25">
      <c r="A49" s="241">
        <v>7</v>
      </c>
      <c r="B49" s="242"/>
      <c r="C49" s="366" t="s">
        <v>677</v>
      </c>
      <c r="D49" s="364" t="s">
        <v>180</v>
      </c>
      <c r="E49" s="365">
        <f>E47*0.35*1.1</f>
        <v>36.109150000000007</v>
      </c>
      <c r="F49" s="63"/>
      <c r="G49" s="64"/>
      <c r="H49" s="65"/>
      <c r="I49" s="64"/>
      <c r="J49" s="64"/>
      <c r="K49" s="66"/>
      <c r="L49" s="67"/>
      <c r="M49" s="64"/>
      <c r="N49" s="64"/>
      <c r="O49" s="64"/>
      <c r="P49" s="68"/>
      <c r="Q49" s="69"/>
      <c r="R49" s="137"/>
      <c r="S49" s="69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243"/>
      <c r="AI49" s="243"/>
      <c r="AJ49" s="243"/>
      <c r="AK49" s="243"/>
      <c r="AL49" s="243"/>
      <c r="AM49" s="243"/>
      <c r="AN49" s="243"/>
      <c r="AO49" s="243"/>
      <c r="AP49" s="243"/>
      <c r="AQ49" s="243"/>
      <c r="AR49" s="243"/>
      <c r="AS49" s="243"/>
      <c r="AT49" s="243"/>
      <c r="AU49" s="243"/>
      <c r="AV49" s="243"/>
      <c r="AW49" s="243"/>
      <c r="AX49" s="243"/>
      <c r="AY49" s="243"/>
      <c r="AZ49" s="243"/>
      <c r="BA49" s="243"/>
      <c r="BB49" s="243"/>
      <c r="BC49" s="243"/>
      <c r="BD49" s="243"/>
      <c r="BE49" s="243"/>
      <c r="BF49" s="243"/>
      <c r="BG49" s="243"/>
      <c r="BH49" s="243"/>
      <c r="BI49" s="243"/>
      <c r="BJ49" s="243"/>
      <c r="BK49" s="243"/>
      <c r="BL49" s="243"/>
      <c r="BM49" s="243"/>
      <c r="BN49" s="243"/>
      <c r="BO49" s="243"/>
      <c r="BP49" s="243"/>
      <c r="BQ49" s="243"/>
      <c r="BR49" s="243"/>
      <c r="BS49" s="243"/>
      <c r="BT49" s="243"/>
      <c r="BU49" s="243"/>
      <c r="BV49" s="243"/>
      <c r="BW49" s="243"/>
      <c r="BX49" s="243"/>
      <c r="BY49" s="243"/>
      <c r="BZ49" s="243"/>
      <c r="CA49" s="243"/>
      <c r="CB49" s="243"/>
      <c r="CC49" s="243"/>
      <c r="CD49" s="243"/>
      <c r="CE49" s="243"/>
      <c r="CF49" s="243"/>
      <c r="CG49" s="243"/>
      <c r="CH49" s="243"/>
      <c r="CI49" s="243"/>
      <c r="CJ49" s="243"/>
      <c r="CK49" s="243"/>
      <c r="CL49" s="243"/>
      <c r="CM49" s="243"/>
      <c r="CN49" s="243"/>
      <c r="CO49" s="243"/>
      <c r="CP49" s="243"/>
      <c r="CQ49" s="243"/>
      <c r="CR49" s="243"/>
      <c r="CS49" s="243"/>
      <c r="CT49" s="243"/>
      <c r="CU49" s="243"/>
      <c r="CV49" s="243"/>
      <c r="CW49" s="243"/>
      <c r="CX49" s="243"/>
      <c r="CY49" s="243"/>
      <c r="CZ49" s="243"/>
      <c r="DA49" s="243"/>
      <c r="DB49" s="243"/>
      <c r="DC49" s="243"/>
      <c r="DD49" s="243"/>
      <c r="DE49" s="243"/>
      <c r="DF49" s="243"/>
      <c r="DG49" s="243"/>
      <c r="DH49" s="243"/>
      <c r="DI49" s="243"/>
      <c r="DJ49" s="243"/>
      <c r="DK49" s="243"/>
      <c r="DL49" s="243"/>
      <c r="DM49" s="243"/>
      <c r="DN49" s="243"/>
      <c r="DO49" s="243"/>
      <c r="DP49" s="243"/>
      <c r="DQ49" s="243"/>
      <c r="DR49" s="243"/>
      <c r="DS49" s="243"/>
      <c r="DT49" s="243"/>
      <c r="DU49" s="243"/>
      <c r="DV49" s="243"/>
      <c r="DW49" s="243"/>
      <c r="DX49" s="243"/>
      <c r="DY49" s="243"/>
      <c r="DZ49" s="243"/>
      <c r="EA49" s="243"/>
      <c r="EB49" s="243"/>
      <c r="EC49" s="243"/>
      <c r="ED49" s="243"/>
      <c r="EE49" s="243"/>
      <c r="EF49" s="243"/>
      <c r="EG49" s="243"/>
      <c r="EH49" s="243"/>
      <c r="EI49" s="243"/>
      <c r="EJ49" s="243"/>
      <c r="EK49" s="243"/>
      <c r="EL49" s="243"/>
      <c r="EM49" s="243"/>
      <c r="EN49" s="243"/>
      <c r="EO49" s="243"/>
      <c r="EP49" s="243"/>
      <c r="EQ49" s="243"/>
      <c r="ER49" s="243"/>
      <c r="ES49" s="243"/>
      <c r="ET49" s="243"/>
      <c r="EU49" s="243"/>
      <c r="EV49" s="243"/>
      <c r="EW49" s="243"/>
      <c r="EX49" s="243"/>
      <c r="EY49" s="243"/>
      <c r="EZ49" s="243"/>
      <c r="FA49" s="243"/>
      <c r="FB49" s="243"/>
      <c r="FC49" s="243"/>
      <c r="FD49" s="243"/>
      <c r="FE49" s="243"/>
      <c r="FF49" s="243"/>
      <c r="FG49" s="243"/>
      <c r="FH49" s="243"/>
      <c r="FI49" s="243"/>
      <c r="FJ49" s="243"/>
      <c r="FK49" s="243"/>
      <c r="FL49" s="243"/>
      <c r="FM49" s="243"/>
      <c r="FN49" s="243"/>
      <c r="FO49" s="243"/>
      <c r="FP49" s="243"/>
      <c r="FQ49" s="243"/>
      <c r="FR49" s="243"/>
      <c r="FS49" s="243"/>
      <c r="FT49" s="243"/>
      <c r="FU49" s="243"/>
      <c r="FV49" s="243"/>
      <c r="FW49" s="243"/>
      <c r="FX49" s="243"/>
      <c r="FY49" s="243"/>
      <c r="FZ49" s="243"/>
      <c r="GA49" s="243"/>
      <c r="GB49" s="243"/>
      <c r="GC49" s="243"/>
      <c r="GD49" s="243"/>
      <c r="GE49" s="243"/>
      <c r="GF49" s="243"/>
      <c r="GG49" s="243"/>
      <c r="GH49" s="243"/>
      <c r="GI49" s="243"/>
      <c r="GJ49" s="243"/>
      <c r="GK49" s="243"/>
      <c r="GL49" s="243"/>
      <c r="GM49" s="243"/>
      <c r="GN49" s="243"/>
      <c r="GO49" s="243"/>
      <c r="GP49" s="243"/>
      <c r="GQ49" s="243"/>
      <c r="GR49" s="243"/>
      <c r="GS49" s="243"/>
      <c r="GT49" s="243"/>
      <c r="GU49" s="243"/>
      <c r="GV49" s="243"/>
      <c r="GW49" s="243"/>
      <c r="GX49" s="243"/>
      <c r="GY49" s="243"/>
      <c r="GZ49" s="243"/>
      <c r="HA49" s="243"/>
      <c r="HB49" s="243"/>
      <c r="HC49" s="243"/>
      <c r="HD49" s="243"/>
      <c r="HE49" s="243"/>
      <c r="HF49" s="243"/>
      <c r="HG49" s="243"/>
      <c r="HH49" s="243"/>
      <c r="HI49" s="243"/>
      <c r="HJ49" s="243"/>
      <c r="HK49" s="243"/>
      <c r="HL49" s="243"/>
      <c r="HM49" s="243"/>
      <c r="HN49" s="243"/>
      <c r="HO49" s="243"/>
      <c r="HP49" s="243"/>
      <c r="HQ49" s="243"/>
      <c r="HR49" s="243"/>
      <c r="HS49" s="243"/>
      <c r="HT49" s="243"/>
      <c r="HU49" s="243"/>
      <c r="HV49" s="243"/>
      <c r="HW49" s="243"/>
      <c r="HX49" s="243"/>
      <c r="HY49" s="243"/>
      <c r="HZ49" s="243"/>
      <c r="IA49" s="243"/>
    </row>
    <row r="50" spans="1:235" s="244" customFormat="1" ht="14.25" customHeight="1" x14ac:dyDescent="0.25">
      <c r="A50" s="241">
        <v>8</v>
      </c>
      <c r="B50" s="242"/>
      <c r="C50" s="366" t="s">
        <v>310</v>
      </c>
      <c r="D50" s="364" t="s">
        <v>110</v>
      </c>
      <c r="E50" s="365">
        <f>E47*0.7*1.1</f>
        <v>72.218300000000013</v>
      </c>
      <c r="F50" s="63"/>
      <c r="G50" s="64"/>
      <c r="H50" s="65"/>
      <c r="I50" s="64"/>
      <c r="J50" s="64"/>
      <c r="K50" s="66"/>
      <c r="L50" s="67"/>
      <c r="M50" s="64"/>
      <c r="N50" s="64"/>
      <c r="O50" s="64"/>
      <c r="P50" s="68"/>
      <c r="Q50" s="69"/>
      <c r="R50" s="137"/>
      <c r="S50" s="69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3"/>
      <c r="AG50" s="243"/>
      <c r="AH50" s="243"/>
      <c r="AI50" s="243"/>
      <c r="AJ50" s="243"/>
      <c r="AK50" s="243"/>
      <c r="AL50" s="243"/>
      <c r="AM50" s="243"/>
      <c r="AN50" s="243"/>
      <c r="AO50" s="243"/>
      <c r="AP50" s="243"/>
      <c r="AQ50" s="243"/>
      <c r="AR50" s="243"/>
      <c r="AS50" s="243"/>
      <c r="AT50" s="243"/>
      <c r="AU50" s="243"/>
      <c r="AV50" s="243"/>
      <c r="AW50" s="243"/>
      <c r="AX50" s="243"/>
      <c r="AY50" s="243"/>
      <c r="AZ50" s="243"/>
      <c r="BA50" s="243"/>
      <c r="BB50" s="243"/>
      <c r="BC50" s="243"/>
      <c r="BD50" s="243"/>
      <c r="BE50" s="243"/>
      <c r="BF50" s="243"/>
      <c r="BG50" s="243"/>
      <c r="BH50" s="243"/>
      <c r="BI50" s="243"/>
      <c r="BJ50" s="243"/>
      <c r="BK50" s="243"/>
      <c r="BL50" s="243"/>
      <c r="BM50" s="243"/>
      <c r="BN50" s="243"/>
      <c r="BO50" s="243"/>
      <c r="BP50" s="243"/>
      <c r="BQ50" s="243"/>
      <c r="BR50" s="243"/>
      <c r="BS50" s="243"/>
      <c r="BT50" s="243"/>
      <c r="BU50" s="243"/>
      <c r="BV50" s="243"/>
      <c r="BW50" s="243"/>
      <c r="BX50" s="243"/>
      <c r="BY50" s="243"/>
      <c r="BZ50" s="243"/>
      <c r="CA50" s="243"/>
      <c r="CB50" s="243"/>
      <c r="CC50" s="243"/>
      <c r="CD50" s="243"/>
      <c r="CE50" s="243"/>
      <c r="CF50" s="243"/>
      <c r="CG50" s="243"/>
      <c r="CH50" s="243"/>
      <c r="CI50" s="243"/>
      <c r="CJ50" s="243"/>
      <c r="CK50" s="243"/>
      <c r="CL50" s="243"/>
      <c r="CM50" s="243"/>
      <c r="CN50" s="243"/>
      <c r="CO50" s="243"/>
      <c r="CP50" s="243"/>
      <c r="CQ50" s="243"/>
      <c r="CR50" s="243"/>
      <c r="CS50" s="243"/>
      <c r="CT50" s="243"/>
      <c r="CU50" s="243"/>
      <c r="CV50" s="243"/>
      <c r="CW50" s="243"/>
      <c r="CX50" s="243"/>
      <c r="CY50" s="243"/>
      <c r="CZ50" s="243"/>
      <c r="DA50" s="243"/>
      <c r="DB50" s="243"/>
      <c r="DC50" s="243"/>
      <c r="DD50" s="243"/>
      <c r="DE50" s="243"/>
      <c r="DF50" s="243"/>
      <c r="DG50" s="243"/>
      <c r="DH50" s="243"/>
      <c r="DI50" s="243"/>
      <c r="DJ50" s="243"/>
      <c r="DK50" s="243"/>
      <c r="DL50" s="243"/>
      <c r="DM50" s="243"/>
      <c r="DN50" s="243"/>
      <c r="DO50" s="243"/>
      <c r="DP50" s="243"/>
      <c r="DQ50" s="243"/>
      <c r="DR50" s="243"/>
      <c r="DS50" s="243"/>
      <c r="DT50" s="243"/>
      <c r="DU50" s="243"/>
      <c r="DV50" s="243"/>
      <c r="DW50" s="243"/>
      <c r="DX50" s="243"/>
      <c r="DY50" s="243"/>
      <c r="DZ50" s="243"/>
      <c r="EA50" s="243"/>
      <c r="EB50" s="243"/>
      <c r="EC50" s="243"/>
      <c r="ED50" s="243"/>
      <c r="EE50" s="243"/>
      <c r="EF50" s="243"/>
      <c r="EG50" s="243"/>
      <c r="EH50" s="243"/>
      <c r="EI50" s="243"/>
      <c r="EJ50" s="243"/>
      <c r="EK50" s="243"/>
      <c r="EL50" s="243"/>
      <c r="EM50" s="243"/>
      <c r="EN50" s="243"/>
      <c r="EO50" s="243"/>
      <c r="EP50" s="243"/>
      <c r="EQ50" s="243"/>
      <c r="ER50" s="243"/>
      <c r="ES50" s="243"/>
      <c r="ET50" s="243"/>
      <c r="EU50" s="243"/>
      <c r="EV50" s="243"/>
      <c r="EW50" s="243"/>
      <c r="EX50" s="243"/>
      <c r="EY50" s="243"/>
      <c r="EZ50" s="243"/>
      <c r="FA50" s="243"/>
      <c r="FB50" s="243"/>
      <c r="FC50" s="243"/>
      <c r="FD50" s="243"/>
      <c r="FE50" s="243"/>
      <c r="FF50" s="243"/>
      <c r="FG50" s="243"/>
      <c r="FH50" s="243"/>
      <c r="FI50" s="243"/>
      <c r="FJ50" s="243"/>
      <c r="FK50" s="243"/>
      <c r="FL50" s="243"/>
      <c r="FM50" s="243"/>
      <c r="FN50" s="243"/>
      <c r="FO50" s="243"/>
      <c r="FP50" s="243"/>
      <c r="FQ50" s="243"/>
      <c r="FR50" s="243"/>
      <c r="FS50" s="243"/>
      <c r="FT50" s="243"/>
      <c r="FU50" s="243"/>
      <c r="FV50" s="243"/>
      <c r="FW50" s="243"/>
      <c r="FX50" s="243"/>
      <c r="FY50" s="243"/>
      <c r="FZ50" s="243"/>
      <c r="GA50" s="243"/>
      <c r="GB50" s="243"/>
      <c r="GC50" s="243"/>
      <c r="GD50" s="243"/>
      <c r="GE50" s="243"/>
      <c r="GF50" s="243"/>
      <c r="GG50" s="243"/>
      <c r="GH50" s="243"/>
      <c r="GI50" s="243"/>
      <c r="GJ50" s="243"/>
      <c r="GK50" s="243"/>
      <c r="GL50" s="243"/>
      <c r="GM50" s="243"/>
      <c r="GN50" s="243"/>
      <c r="GO50" s="243"/>
      <c r="GP50" s="243"/>
      <c r="GQ50" s="243"/>
      <c r="GR50" s="243"/>
      <c r="GS50" s="243"/>
      <c r="GT50" s="243"/>
      <c r="GU50" s="243"/>
      <c r="GV50" s="243"/>
      <c r="GW50" s="243"/>
      <c r="GX50" s="243"/>
      <c r="GY50" s="243"/>
      <c r="GZ50" s="243"/>
      <c r="HA50" s="243"/>
      <c r="HB50" s="243"/>
      <c r="HC50" s="243"/>
      <c r="HD50" s="243"/>
      <c r="HE50" s="243"/>
      <c r="HF50" s="243"/>
      <c r="HG50" s="243"/>
      <c r="HH50" s="243"/>
      <c r="HI50" s="243"/>
      <c r="HJ50" s="243"/>
      <c r="HK50" s="243"/>
      <c r="HL50" s="243"/>
      <c r="HM50" s="243"/>
      <c r="HN50" s="243"/>
      <c r="HO50" s="243"/>
      <c r="HP50" s="243"/>
      <c r="HQ50" s="243"/>
      <c r="HR50" s="243"/>
      <c r="HS50" s="243"/>
      <c r="HT50" s="243"/>
      <c r="HU50" s="243"/>
      <c r="HV50" s="243"/>
      <c r="HW50" s="243"/>
      <c r="HX50" s="243"/>
      <c r="HY50" s="243"/>
      <c r="HZ50" s="243"/>
      <c r="IA50" s="243"/>
    </row>
    <row r="51" spans="1:235" s="244" customFormat="1" ht="14.25" customHeight="1" x14ac:dyDescent="0.25">
      <c r="A51" s="241"/>
      <c r="B51" s="242"/>
      <c r="C51" s="367" t="s">
        <v>613</v>
      </c>
      <c r="D51" s="364"/>
      <c r="E51" s="365"/>
      <c r="F51" s="63"/>
      <c r="G51" s="64"/>
      <c r="H51" s="65"/>
      <c r="I51" s="64"/>
      <c r="J51" s="64"/>
      <c r="K51" s="66"/>
      <c r="L51" s="67"/>
      <c r="M51" s="64"/>
      <c r="N51" s="64"/>
      <c r="O51" s="64"/>
      <c r="P51" s="68"/>
      <c r="Q51" s="69"/>
      <c r="R51" s="137"/>
      <c r="S51" s="69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43"/>
      <c r="AM51" s="243"/>
      <c r="AN51" s="243"/>
      <c r="AO51" s="243"/>
      <c r="AP51" s="243"/>
      <c r="AQ51" s="243"/>
      <c r="AR51" s="243"/>
      <c r="AS51" s="243"/>
      <c r="AT51" s="243"/>
      <c r="AU51" s="243"/>
      <c r="AV51" s="243"/>
      <c r="AW51" s="243"/>
      <c r="AX51" s="243"/>
      <c r="AY51" s="243"/>
      <c r="AZ51" s="243"/>
      <c r="BA51" s="243"/>
      <c r="BB51" s="243"/>
      <c r="BC51" s="243"/>
      <c r="BD51" s="243"/>
      <c r="BE51" s="243"/>
      <c r="BF51" s="243"/>
      <c r="BG51" s="243"/>
      <c r="BH51" s="243"/>
      <c r="BI51" s="243"/>
      <c r="BJ51" s="243"/>
      <c r="BK51" s="243"/>
      <c r="BL51" s="243"/>
      <c r="BM51" s="243"/>
      <c r="BN51" s="243"/>
      <c r="BO51" s="243"/>
      <c r="BP51" s="243"/>
      <c r="BQ51" s="243"/>
      <c r="BR51" s="243"/>
      <c r="BS51" s="243"/>
      <c r="BT51" s="243"/>
      <c r="BU51" s="243"/>
      <c r="BV51" s="243"/>
      <c r="BW51" s="243"/>
      <c r="BX51" s="243"/>
      <c r="BY51" s="243"/>
      <c r="BZ51" s="243"/>
      <c r="CA51" s="243"/>
      <c r="CB51" s="243"/>
      <c r="CC51" s="243"/>
      <c r="CD51" s="243"/>
      <c r="CE51" s="243"/>
      <c r="CF51" s="243"/>
      <c r="CG51" s="243"/>
      <c r="CH51" s="243"/>
      <c r="CI51" s="243"/>
      <c r="CJ51" s="243"/>
      <c r="CK51" s="243"/>
      <c r="CL51" s="243"/>
      <c r="CM51" s="243"/>
      <c r="CN51" s="243"/>
      <c r="CO51" s="243"/>
      <c r="CP51" s="243"/>
      <c r="CQ51" s="243"/>
      <c r="CR51" s="243"/>
      <c r="CS51" s="243"/>
      <c r="CT51" s="243"/>
      <c r="CU51" s="243"/>
      <c r="CV51" s="243"/>
      <c r="CW51" s="243"/>
      <c r="CX51" s="243"/>
      <c r="CY51" s="243"/>
      <c r="CZ51" s="243"/>
      <c r="DA51" s="243"/>
      <c r="DB51" s="243"/>
      <c r="DC51" s="243"/>
      <c r="DD51" s="243"/>
      <c r="DE51" s="243"/>
      <c r="DF51" s="243"/>
      <c r="DG51" s="243"/>
      <c r="DH51" s="243"/>
      <c r="DI51" s="243"/>
      <c r="DJ51" s="243"/>
      <c r="DK51" s="243"/>
      <c r="DL51" s="243"/>
      <c r="DM51" s="243"/>
      <c r="DN51" s="243"/>
      <c r="DO51" s="243"/>
      <c r="DP51" s="243"/>
      <c r="DQ51" s="243"/>
      <c r="DR51" s="243"/>
      <c r="DS51" s="243"/>
      <c r="DT51" s="243"/>
      <c r="DU51" s="243"/>
      <c r="DV51" s="243"/>
      <c r="DW51" s="243"/>
      <c r="DX51" s="243"/>
      <c r="DY51" s="243"/>
      <c r="DZ51" s="243"/>
      <c r="EA51" s="243"/>
      <c r="EB51" s="243"/>
      <c r="EC51" s="243"/>
      <c r="ED51" s="243"/>
      <c r="EE51" s="243"/>
      <c r="EF51" s="243"/>
      <c r="EG51" s="243"/>
      <c r="EH51" s="243"/>
      <c r="EI51" s="243"/>
      <c r="EJ51" s="243"/>
      <c r="EK51" s="243"/>
      <c r="EL51" s="243"/>
      <c r="EM51" s="243"/>
      <c r="EN51" s="243"/>
      <c r="EO51" s="243"/>
      <c r="EP51" s="243"/>
      <c r="EQ51" s="243"/>
      <c r="ER51" s="243"/>
      <c r="ES51" s="243"/>
      <c r="ET51" s="243"/>
      <c r="EU51" s="243"/>
      <c r="EV51" s="243"/>
      <c r="EW51" s="243"/>
      <c r="EX51" s="243"/>
      <c r="EY51" s="243"/>
      <c r="EZ51" s="243"/>
      <c r="FA51" s="243"/>
      <c r="FB51" s="243"/>
      <c r="FC51" s="243"/>
      <c r="FD51" s="243"/>
      <c r="FE51" s="243"/>
      <c r="FF51" s="243"/>
      <c r="FG51" s="243"/>
      <c r="FH51" s="243"/>
      <c r="FI51" s="243"/>
      <c r="FJ51" s="243"/>
      <c r="FK51" s="243"/>
      <c r="FL51" s="243"/>
      <c r="FM51" s="243"/>
      <c r="FN51" s="243"/>
      <c r="FO51" s="243"/>
      <c r="FP51" s="243"/>
      <c r="FQ51" s="243"/>
      <c r="FR51" s="243"/>
      <c r="FS51" s="243"/>
      <c r="FT51" s="243"/>
      <c r="FU51" s="243"/>
      <c r="FV51" s="243"/>
      <c r="FW51" s="243"/>
      <c r="FX51" s="243"/>
      <c r="FY51" s="243"/>
      <c r="FZ51" s="243"/>
      <c r="GA51" s="243"/>
      <c r="GB51" s="243"/>
      <c r="GC51" s="243"/>
      <c r="GD51" s="243"/>
      <c r="GE51" s="243"/>
      <c r="GF51" s="243"/>
      <c r="GG51" s="243"/>
      <c r="GH51" s="243"/>
      <c r="GI51" s="243"/>
      <c r="GJ51" s="243"/>
      <c r="GK51" s="243"/>
      <c r="GL51" s="243"/>
      <c r="GM51" s="243"/>
      <c r="GN51" s="243"/>
      <c r="GO51" s="243"/>
      <c r="GP51" s="243"/>
      <c r="GQ51" s="243"/>
      <c r="GR51" s="243"/>
      <c r="GS51" s="243"/>
      <c r="GT51" s="243"/>
      <c r="GU51" s="243"/>
      <c r="GV51" s="243"/>
      <c r="GW51" s="243"/>
      <c r="GX51" s="243"/>
      <c r="GY51" s="243"/>
      <c r="GZ51" s="243"/>
      <c r="HA51" s="243"/>
      <c r="HB51" s="243"/>
      <c r="HC51" s="243"/>
      <c r="HD51" s="243"/>
      <c r="HE51" s="243"/>
      <c r="HF51" s="243"/>
      <c r="HG51" s="243"/>
      <c r="HH51" s="243"/>
      <c r="HI51" s="243"/>
      <c r="HJ51" s="243"/>
      <c r="HK51" s="243"/>
      <c r="HL51" s="243"/>
      <c r="HM51" s="243"/>
      <c r="HN51" s="243"/>
      <c r="HO51" s="243"/>
      <c r="HP51" s="243"/>
      <c r="HQ51" s="243"/>
      <c r="HR51" s="243"/>
      <c r="HS51" s="243"/>
      <c r="HT51" s="243"/>
      <c r="HU51" s="243"/>
      <c r="HV51" s="243"/>
      <c r="HW51" s="243"/>
      <c r="HX51" s="243"/>
      <c r="HY51" s="243"/>
      <c r="HZ51" s="243"/>
      <c r="IA51" s="243"/>
    </row>
    <row r="52" spans="1:235" s="244" customFormat="1" ht="24.6" customHeight="1" x14ac:dyDescent="0.25">
      <c r="A52" s="241">
        <v>1</v>
      </c>
      <c r="B52" s="242" t="s">
        <v>108</v>
      </c>
      <c r="C52" s="363" t="s">
        <v>312</v>
      </c>
      <c r="D52" s="364" t="s">
        <v>124</v>
      </c>
      <c r="E52" s="365">
        <v>63.92</v>
      </c>
      <c r="F52" s="63"/>
      <c r="G52" s="64"/>
      <c r="H52" s="65"/>
      <c r="I52" s="64"/>
      <c r="J52" s="64"/>
      <c r="K52" s="66"/>
      <c r="L52" s="67"/>
      <c r="M52" s="64"/>
      <c r="N52" s="64"/>
      <c r="O52" s="64"/>
      <c r="P52" s="68"/>
      <c r="Q52" s="69"/>
      <c r="R52" s="137"/>
      <c r="S52" s="69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43"/>
      <c r="AM52" s="243"/>
      <c r="AN52" s="243"/>
      <c r="AO52" s="243"/>
      <c r="AP52" s="243"/>
      <c r="AQ52" s="243"/>
      <c r="AR52" s="243"/>
      <c r="AS52" s="243"/>
      <c r="AT52" s="243"/>
      <c r="AU52" s="243"/>
      <c r="AV52" s="243"/>
      <c r="AW52" s="243"/>
      <c r="AX52" s="243"/>
      <c r="AY52" s="243"/>
      <c r="AZ52" s="243"/>
      <c r="BA52" s="243"/>
      <c r="BB52" s="243"/>
      <c r="BC52" s="243"/>
      <c r="BD52" s="243"/>
      <c r="BE52" s="243"/>
      <c r="BF52" s="243"/>
      <c r="BG52" s="243"/>
      <c r="BH52" s="243"/>
      <c r="BI52" s="243"/>
      <c r="BJ52" s="243"/>
      <c r="BK52" s="243"/>
      <c r="BL52" s="243"/>
      <c r="BM52" s="243"/>
      <c r="BN52" s="243"/>
      <c r="BO52" s="243"/>
      <c r="BP52" s="243"/>
      <c r="BQ52" s="243"/>
      <c r="BR52" s="243"/>
      <c r="BS52" s="243"/>
      <c r="BT52" s="243"/>
      <c r="BU52" s="243"/>
      <c r="BV52" s="243"/>
      <c r="BW52" s="243"/>
      <c r="BX52" s="243"/>
      <c r="BY52" s="243"/>
      <c r="BZ52" s="243"/>
      <c r="CA52" s="243"/>
      <c r="CB52" s="243"/>
      <c r="CC52" s="243"/>
      <c r="CD52" s="243"/>
      <c r="CE52" s="243"/>
      <c r="CF52" s="243"/>
      <c r="CG52" s="243"/>
      <c r="CH52" s="243"/>
      <c r="CI52" s="243"/>
      <c r="CJ52" s="243"/>
      <c r="CK52" s="243"/>
      <c r="CL52" s="243"/>
      <c r="CM52" s="243"/>
      <c r="CN52" s="243"/>
      <c r="CO52" s="243"/>
      <c r="CP52" s="243"/>
      <c r="CQ52" s="243"/>
      <c r="CR52" s="243"/>
      <c r="CS52" s="243"/>
      <c r="CT52" s="243"/>
      <c r="CU52" s="243"/>
      <c r="CV52" s="243"/>
      <c r="CW52" s="243"/>
      <c r="CX52" s="243"/>
      <c r="CY52" s="243"/>
      <c r="CZ52" s="243"/>
      <c r="DA52" s="243"/>
      <c r="DB52" s="243"/>
      <c r="DC52" s="243"/>
      <c r="DD52" s="243"/>
      <c r="DE52" s="243"/>
      <c r="DF52" s="243"/>
      <c r="DG52" s="243"/>
      <c r="DH52" s="243"/>
      <c r="DI52" s="243"/>
      <c r="DJ52" s="243"/>
      <c r="DK52" s="243"/>
      <c r="DL52" s="243"/>
      <c r="DM52" s="243"/>
      <c r="DN52" s="243"/>
      <c r="DO52" s="243"/>
      <c r="DP52" s="243"/>
      <c r="DQ52" s="243"/>
      <c r="DR52" s="243"/>
      <c r="DS52" s="243"/>
      <c r="DT52" s="243"/>
      <c r="DU52" s="243"/>
      <c r="DV52" s="243"/>
      <c r="DW52" s="243"/>
      <c r="DX52" s="243"/>
      <c r="DY52" s="243"/>
      <c r="DZ52" s="243"/>
      <c r="EA52" s="243"/>
      <c r="EB52" s="243"/>
      <c r="EC52" s="243"/>
      <c r="ED52" s="243"/>
      <c r="EE52" s="243"/>
      <c r="EF52" s="243"/>
      <c r="EG52" s="243"/>
      <c r="EH52" s="243"/>
      <c r="EI52" s="243"/>
      <c r="EJ52" s="243"/>
      <c r="EK52" s="243"/>
      <c r="EL52" s="243"/>
      <c r="EM52" s="243"/>
      <c r="EN52" s="243"/>
      <c r="EO52" s="243"/>
      <c r="EP52" s="243"/>
      <c r="EQ52" s="243"/>
      <c r="ER52" s="243"/>
      <c r="ES52" s="243"/>
      <c r="ET52" s="243"/>
      <c r="EU52" s="243"/>
      <c r="EV52" s="243"/>
      <c r="EW52" s="243"/>
      <c r="EX52" s="243"/>
      <c r="EY52" s="243"/>
      <c r="EZ52" s="243"/>
      <c r="FA52" s="243"/>
      <c r="FB52" s="243"/>
      <c r="FC52" s="243"/>
      <c r="FD52" s="243"/>
      <c r="FE52" s="243"/>
      <c r="FF52" s="243"/>
      <c r="FG52" s="243"/>
      <c r="FH52" s="243"/>
      <c r="FI52" s="243"/>
      <c r="FJ52" s="243"/>
      <c r="FK52" s="243"/>
      <c r="FL52" s="243"/>
      <c r="FM52" s="243"/>
      <c r="FN52" s="243"/>
      <c r="FO52" s="243"/>
      <c r="FP52" s="243"/>
      <c r="FQ52" s="243"/>
      <c r="FR52" s="243"/>
      <c r="FS52" s="243"/>
      <c r="FT52" s="243"/>
      <c r="FU52" s="243"/>
      <c r="FV52" s="243"/>
      <c r="FW52" s="243"/>
      <c r="FX52" s="243"/>
      <c r="FY52" s="243"/>
      <c r="FZ52" s="243"/>
      <c r="GA52" s="243"/>
      <c r="GB52" s="243"/>
      <c r="GC52" s="243"/>
      <c r="GD52" s="243"/>
      <c r="GE52" s="243"/>
      <c r="GF52" s="243"/>
      <c r="GG52" s="243"/>
      <c r="GH52" s="243"/>
      <c r="GI52" s="243"/>
      <c r="GJ52" s="243"/>
      <c r="GK52" s="243"/>
      <c r="GL52" s="243"/>
      <c r="GM52" s="243"/>
      <c r="GN52" s="243"/>
      <c r="GO52" s="243"/>
      <c r="GP52" s="243"/>
      <c r="GQ52" s="243"/>
      <c r="GR52" s="243"/>
      <c r="GS52" s="243"/>
      <c r="GT52" s="243"/>
      <c r="GU52" s="243"/>
      <c r="GV52" s="243"/>
      <c r="GW52" s="243"/>
      <c r="GX52" s="243"/>
      <c r="GY52" s="243"/>
      <c r="GZ52" s="243"/>
      <c r="HA52" s="243"/>
      <c r="HB52" s="243"/>
      <c r="HC52" s="243"/>
      <c r="HD52" s="243"/>
      <c r="HE52" s="243"/>
      <c r="HF52" s="243"/>
      <c r="HG52" s="243"/>
      <c r="HH52" s="243"/>
      <c r="HI52" s="243"/>
      <c r="HJ52" s="243"/>
      <c r="HK52" s="243"/>
      <c r="HL52" s="243"/>
      <c r="HM52" s="243"/>
      <c r="HN52" s="243"/>
      <c r="HO52" s="243"/>
      <c r="HP52" s="243"/>
      <c r="HQ52" s="243"/>
      <c r="HR52" s="243"/>
      <c r="HS52" s="243"/>
      <c r="HT52" s="243"/>
      <c r="HU52" s="243"/>
      <c r="HV52" s="243"/>
      <c r="HW52" s="243"/>
      <c r="HX52" s="243"/>
      <c r="HY52" s="243"/>
      <c r="HZ52" s="243"/>
      <c r="IA52" s="243"/>
    </row>
    <row r="53" spans="1:235" s="244" customFormat="1" ht="14.25" customHeight="1" x14ac:dyDescent="0.25">
      <c r="A53" s="241">
        <v>2</v>
      </c>
      <c r="B53" s="242"/>
      <c r="C53" s="366" t="s">
        <v>176</v>
      </c>
      <c r="D53" s="364" t="s">
        <v>177</v>
      </c>
      <c r="E53" s="365">
        <f>E52*0.2*1.15</f>
        <v>14.701599999999999</v>
      </c>
      <c r="F53" s="63"/>
      <c r="G53" s="64"/>
      <c r="H53" s="65"/>
      <c r="I53" s="64"/>
      <c r="J53" s="64"/>
      <c r="K53" s="66"/>
      <c r="L53" s="67"/>
      <c r="M53" s="64"/>
      <c r="N53" s="64"/>
      <c r="O53" s="64"/>
      <c r="P53" s="68"/>
      <c r="Q53" s="69"/>
      <c r="R53" s="137"/>
      <c r="S53" s="69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43"/>
      <c r="AM53" s="243"/>
      <c r="AN53" s="243"/>
      <c r="AO53" s="243"/>
      <c r="AP53" s="243"/>
      <c r="AQ53" s="243"/>
      <c r="AR53" s="243"/>
      <c r="AS53" s="243"/>
      <c r="AT53" s="243"/>
      <c r="AU53" s="243"/>
      <c r="AV53" s="243"/>
      <c r="AW53" s="243"/>
      <c r="AX53" s="243"/>
      <c r="AY53" s="243"/>
      <c r="AZ53" s="243"/>
      <c r="BA53" s="243"/>
      <c r="BB53" s="243"/>
      <c r="BC53" s="243"/>
      <c r="BD53" s="243"/>
      <c r="BE53" s="243"/>
      <c r="BF53" s="243"/>
      <c r="BG53" s="243"/>
      <c r="BH53" s="243"/>
      <c r="BI53" s="243"/>
      <c r="BJ53" s="243"/>
      <c r="BK53" s="243"/>
      <c r="BL53" s="243"/>
      <c r="BM53" s="243"/>
      <c r="BN53" s="243"/>
      <c r="BO53" s="243"/>
      <c r="BP53" s="243"/>
      <c r="BQ53" s="243"/>
      <c r="BR53" s="243"/>
      <c r="BS53" s="243"/>
      <c r="BT53" s="243"/>
      <c r="BU53" s="243"/>
      <c r="BV53" s="243"/>
      <c r="BW53" s="243"/>
      <c r="BX53" s="243"/>
      <c r="BY53" s="243"/>
      <c r="BZ53" s="243"/>
      <c r="CA53" s="243"/>
      <c r="CB53" s="243"/>
      <c r="CC53" s="243"/>
      <c r="CD53" s="243"/>
      <c r="CE53" s="243"/>
      <c r="CF53" s="243"/>
      <c r="CG53" s="243"/>
      <c r="CH53" s="243"/>
      <c r="CI53" s="243"/>
      <c r="CJ53" s="243"/>
      <c r="CK53" s="243"/>
      <c r="CL53" s="243"/>
      <c r="CM53" s="243"/>
      <c r="CN53" s="243"/>
      <c r="CO53" s="243"/>
      <c r="CP53" s="243"/>
      <c r="CQ53" s="243"/>
      <c r="CR53" s="243"/>
      <c r="CS53" s="243"/>
      <c r="CT53" s="243"/>
      <c r="CU53" s="243"/>
      <c r="CV53" s="243"/>
      <c r="CW53" s="243"/>
      <c r="CX53" s="243"/>
      <c r="CY53" s="243"/>
      <c r="CZ53" s="243"/>
      <c r="DA53" s="243"/>
      <c r="DB53" s="243"/>
      <c r="DC53" s="243"/>
      <c r="DD53" s="243"/>
      <c r="DE53" s="243"/>
      <c r="DF53" s="243"/>
      <c r="DG53" s="243"/>
      <c r="DH53" s="243"/>
      <c r="DI53" s="243"/>
      <c r="DJ53" s="243"/>
      <c r="DK53" s="243"/>
      <c r="DL53" s="243"/>
      <c r="DM53" s="243"/>
      <c r="DN53" s="243"/>
      <c r="DO53" s="243"/>
      <c r="DP53" s="243"/>
      <c r="DQ53" s="243"/>
      <c r="DR53" s="243"/>
      <c r="DS53" s="243"/>
      <c r="DT53" s="243"/>
      <c r="DU53" s="243"/>
      <c r="DV53" s="243"/>
      <c r="DW53" s="243"/>
      <c r="DX53" s="243"/>
      <c r="DY53" s="243"/>
      <c r="DZ53" s="243"/>
      <c r="EA53" s="243"/>
      <c r="EB53" s="243"/>
      <c r="EC53" s="243"/>
      <c r="ED53" s="243"/>
      <c r="EE53" s="243"/>
      <c r="EF53" s="243"/>
      <c r="EG53" s="243"/>
      <c r="EH53" s="243"/>
      <c r="EI53" s="243"/>
      <c r="EJ53" s="243"/>
      <c r="EK53" s="243"/>
      <c r="EL53" s="243"/>
      <c r="EM53" s="243"/>
      <c r="EN53" s="243"/>
      <c r="EO53" s="243"/>
      <c r="EP53" s="243"/>
      <c r="EQ53" s="243"/>
      <c r="ER53" s="243"/>
      <c r="ES53" s="243"/>
      <c r="ET53" s="243"/>
      <c r="EU53" s="243"/>
      <c r="EV53" s="243"/>
      <c r="EW53" s="243"/>
      <c r="EX53" s="243"/>
      <c r="EY53" s="243"/>
      <c r="EZ53" s="243"/>
      <c r="FA53" s="243"/>
      <c r="FB53" s="243"/>
      <c r="FC53" s="243"/>
      <c r="FD53" s="243"/>
      <c r="FE53" s="243"/>
      <c r="FF53" s="243"/>
      <c r="FG53" s="243"/>
      <c r="FH53" s="243"/>
      <c r="FI53" s="243"/>
      <c r="FJ53" s="243"/>
      <c r="FK53" s="243"/>
      <c r="FL53" s="243"/>
      <c r="FM53" s="243"/>
      <c r="FN53" s="243"/>
      <c r="FO53" s="243"/>
      <c r="FP53" s="243"/>
      <c r="FQ53" s="243"/>
      <c r="FR53" s="243"/>
      <c r="FS53" s="243"/>
      <c r="FT53" s="243"/>
      <c r="FU53" s="243"/>
      <c r="FV53" s="243"/>
      <c r="FW53" s="243"/>
      <c r="FX53" s="243"/>
      <c r="FY53" s="243"/>
      <c r="FZ53" s="243"/>
      <c r="GA53" s="243"/>
      <c r="GB53" s="243"/>
      <c r="GC53" s="243"/>
      <c r="GD53" s="243"/>
      <c r="GE53" s="243"/>
      <c r="GF53" s="243"/>
      <c r="GG53" s="243"/>
      <c r="GH53" s="243"/>
      <c r="GI53" s="243"/>
      <c r="GJ53" s="243"/>
      <c r="GK53" s="243"/>
      <c r="GL53" s="243"/>
      <c r="GM53" s="243"/>
      <c r="GN53" s="243"/>
      <c r="GO53" s="243"/>
      <c r="GP53" s="243"/>
      <c r="GQ53" s="243"/>
      <c r="GR53" s="243"/>
      <c r="GS53" s="243"/>
      <c r="GT53" s="243"/>
      <c r="GU53" s="243"/>
      <c r="GV53" s="243"/>
      <c r="GW53" s="243"/>
      <c r="GX53" s="243"/>
      <c r="GY53" s="243"/>
      <c r="GZ53" s="243"/>
      <c r="HA53" s="243"/>
      <c r="HB53" s="243"/>
      <c r="HC53" s="243"/>
      <c r="HD53" s="243"/>
      <c r="HE53" s="243"/>
      <c r="HF53" s="243"/>
      <c r="HG53" s="243"/>
      <c r="HH53" s="243"/>
      <c r="HI53" s="243"/>
      <c r="HJ53" s="243"/>
      <c r="HK53" s="243"/>
      <c r="HL53" s="243"/>
      <c r="HM53" s="243"/>
      <c r="HN53" s="243"/>
      <c r="HO53" s="243"/>
      <c r="HP53" s="243"/>
      <c r="HQ53" s="243"/>
      <c r="HR53" s="243"/>
      <c r="HS53" s="243"/>
      <c r="HT53" s="243"/>
      <c r="HU53" s="243"/>
      <c r="HV53" s="243"/>
      <c r="HW53" s="243"/>
      <c r="HX53" s="243"/>
      <c r="HY53" s="243"/>
      <c r="HZ53" s="243"/>
      <c r="IA53" s="243"/>
    </row>
    <row r="54" spans="1:235" s="244" customFormat="1" ht="14.25" customHeight="1" x14ac:dyDescent="0.25">
      <c r="A54" s="241">
        <v>3</v>
      </c>
      <c r="B54" s="242"/>
      <c r="C54" s="366" t="s">
        <v>308</v>
      </c>
      <c r="D54" s="364" t="s">
        <v>180</v>
      </c>
      <c r="E54" s="365">
        <f>E52*1.8*5*1.1</f>
        <v>632.80800000000011</v>
      </c>
      <c r="F54" s="63"/>
      <c r="G54" s="64"/>
      <c r="H54" s="65"/>
      <c r="I54" s="64"/>
      <c r="J54" s="64"/>
      <c r="K54" s="66"/>
      <c r="L54" s="67"/>
      <c r="M54" s="64"/>
      <c r="N54" s="64"/>
      <c r="O54" s="64"/>
      <c r="P54" s="68"/>
      <c r="Q54" s="69"/>
      <c r="R54" s="137"/>
      <c r="S54" s="69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  <c r="AI54" s="243"/>
      <c r="AJ54" s="243"/>
      <c r="AK54" s="243"/>
      <c r="AL54" s="243"/>
      <c r="AM54" s="243"/>
      <c r="AN54" s="243"/>
      <c r="AO54" s="243"/>
      <c r="AP54" s="243"/>
      <c r="AQ54" s="243"/>
      <c r="AR54" s="243"/>
      <c r="AS54" s="243"/>
      <c r="AT54" s="243"/>
      <c r="AU54" s="243"/>
      <c r="AV54" s="243"/>
      <c r="AW54" s="243"/>
      <c r="AX54" s="243"/>
      <c r="AY54" s="243"/>
      <c r="AZ54" s="243"/>
      <c r="BA54" s="243"/>
      <c r="BB54" s="243"/>
      <c r="BC54" s="243"/>
      <c r="BD54" s="243"/>
      <c r="BE54" s="243"/>
      <c r="BF54" s="243"/>
      <c r="BG54" s="243"/>
      <c r="BH54" s="243"/>
      <c r="BI54" s="243"/>
      <c r="BJ54" s="243"/>
      <c r="BK54" s="243"/>
      <c r="BL54" s="243"/>
      <c r="BM54" s="243"/>
      <c r="BN54" s="243"/>
      <c r="BO54" s="243"/>
      <c r="BP54" s="243"/>
      <c r="BQ54" s="243"/>
      <c r="BR54" s="243"/>
      <c r="BS54" s="243"/>
      <c r="BT54" s="243"/>
      <c r="BU54" s="243"/>
      <c r="BV54" s="243"/>
      <c r="BW54" s="243"/>
      <c r="BX54" s="243"/>
      <c r="BY54" s="243"/>
      <c r="BZ54" s="243"/>
      <c r="CA54" s="243"/>
      <c r="CB54" s="243"/>
      <c r="CC54" s="243"/>
      <c r="CD54" s="243"/>
      <c r="CE54" s="243"/>
      <c r="CF54" s="243"/>
      <c r="CG54" s="243"/>
      <c r="CH54" s="243"/>
      <c r="CI54" s="243"/>
      <c r="CJ54" s="243"/>
      <c r="CK54" s="243"/>
      <c r="CL54" s="243"/>
      <c r="CM54" s="243"/>
      <c r="CN54" s="243"/>
      <c r="CO54" s="243"/>
      <c r="CP54" s="243"/>
      <c r="CQ54" s="243"/>
      <c r="CR54" s="243"/>
      <c r="CS54" s="243"/>
      <c r="CT54" s="243"/>
      <c r="CU54" s="243"/>
      <c r="CV54" s="243"/>
      <c r="CW54" s="243"/>
      <c r="CX54" s="243"/>
      <c r="CY54" s="243"/>
      <c r="CZ54" s="243"/>
      <c r="DA54" s="243"/>
      <c r="DB54" s="243"/>
      <c r="DC54" s="243"/>
      <c r="DD54" s="243"/>
      <c r="DE54" s="243"/>
      <c r="DF54" s="243"/>
      <c r="DG54" s="243"/>
      <c r="DH54" s="243"/>
      <c r="DI54" s="243"/>
      <c r="DJ54" s="243"/>
      <c r="DK54" s="243"/>
      <c r="DL54" s="243"/>
      <c r="DM54" s="243"/>
      <c r="DN54" s="243"/>
      <c r="DO54" s="243"/>
      <c r="DP54" s="243"/>
      <c r="DQ54" s="243"/>
      <c r="DR54" s="243"/>
      <c r="DS54" s="243"/>
      <c r="DT54" s="243"/>
      <c r="DU54" s="243"/>
      <c r="DV54" s="243"/>
      <c r="DW54" s="243"/>
      <c r="DX54" s="243"/>
      <c r="DY54" s="243"/>
      <c r="DZ54" s="243"/>
      <c r="EA54" s="243"/>
      <c r="EB54" s="243"/>
      <c r="EC54" s="243"/>
      <c r="ED54" s="243"/>
      <c r="EE54" s="243"/>
      <c r="EF54" s="243"/>
      <c r="EG54" s="243"/>
      <c r="EH54" s="243"/>
      <c r="EI54" s="243"/>
      <c r="EJ54" s="243"/>
      <c r="EK54" s="243"/>
      <c r="EL54" s="243"/>
      <c r="EM54" s="243"/>
      <c r="EN54" s="243"/>
      <c r="EO54" s="243"/>
      <c r="EP54" s="243"/>
      <c r="EQ54" s="243"/>
      <c r="ER54" s="243"/>
      <c r="ES54" s="243"/>
      <c r="ET54" s="243"/>
      <c r="EU54" s="243"/>
      <c r="EV54" s="243"/>
      <c r="EW54" s="243"/>
      <c r="EX54" s="243"/>
      <c r="EY54" s="243"/>
      <c r="EZ54" s="243"/>
      <c r="FA54" s="243"/>
      <c r="FB54" s="243"/>
      <c r="FC54" s="243"/>
      <c r="FD54" s="243"/>
      <c r="FE54" s="243"/>
      <c r="FF54" s="243"/>
      <c r="FG54" s="243"/>
      <c r="FH54" s="243"/>
      <c r="FI54" s="243"/>
      <c r="FJ54" s="243"/>
      <c r="FK54" s="243"/>
      <c r="FL54" s="243"/>
      <c r="FM54" s="243"/>
      <c r="FN54" s="243"/>
      <c r="FO54" s="243"/>
      <c r="FP54" s="243"/>
      <c r="FQ54" s="243"/>
      <c r="FR54" s="243"/>
      <c r="FS54" s="243"/>
      <c r="FT54" s="243"/>
      <c r="FU54" s="243"/>
      <c r="FV54" s="243"/>
      <c r="FW54" s="243"/>
      <c r="FX54" s="243"/>
      <c r="FY54" s="243"/>
      <c r="FZ54" s="243"/>
      <c r="GA54" s="243"/>
      <c r="GB54" s="243"/>
      <c r="GC54" s="243"/>
      <c r="GD54" s="243"/>
      <c r="GE54" s="243"/>
      <c r="GF54" s="243"/>
      <c r="GG54" s="243"/>
      <c r="GH54" s="243"/>
      <c r="GI54" s="243"/>
      <c r="GJ54" s="243"/>
      <c r="GK54" s="243"/>
      <c r="GL54" s="243"/>
      <c r="GM54" s="243"/>
      <c r="GN54" s="243"/>
      <c r="GO54" s="243"/>
      <c r="GP54" s="243"/>
      <c r="GQ54" s="243"/>
      <c r="GR54" s="243"/>
      <c r="GS54" s="243"/>
      <c r="GT54" s="243"/>
      <c r="GU54" s="243"/>
      <c r="GV54" s="243"/>
      <c r="GW54" s="243"/>
      <c r="GX54" s="243"/>
      <c r="GY54" s="243"/>
      <c r="GZ54" s="243"/>
      <c r="HA54" s="243"/>
      <c r="HB54" s="243"/>
      <c r="HC54" s="243"/>
      <c r="HD54" s="243"/>
      <c r="HE54" s="243"/>
      <c r="HF54" s="243"/>
      <c r="HG54" s="243"/>
      <c r="HH54" s="243"/>
      <c r="HI54" s="243"/>
      <c r="HJ54" s="243"/>
      <c r="HK54" s="243"/>
      <c r="HL54" s="243"/>
      <c r="HM54" s="243"/>
      <c r="HN54" s="243"/>
      <c r="HO54" s="243"/>
      <c r="HP54" s="243"/>
      <c r="HQ54" s="243"/>
      <c r="HR54" s="243"/>
      <c r="HS54" s="243"/>
      <c r="HT54" s="243"/>
      <c r="HU54" s="243"/>
      <c r="HV54" s="243"/>
      <c r="HW54" s="243"/>
      <c r="HX54" s="243"/>
      <c r="HY54" s="243"/>
      <c r="HZ54" s="243"/>
      <c r="IA54" s="243"/>
    </row>
    <row r="55" spans="1:235" s="244" customFormat="1" ht="14.25" customHeight="1" x14ac:dyDescent="0.25">
      <c r="A55" s="241">
        <v>4</v>
      </c>
      <c r="B55" s="242"/>
      <c r="C55" s="366" t="s">
        <v>194</v>
      </c>
      <c r="D55" s="364" t="s">
        <v>124</v>
      </c>
      <c r="E55" s="365">
        <f>E52</f>
        <v>63.92</v>
      </c>
      <c r="F55" s="63"/>
      <c r="G55" s="64"/>
      <c r="H55" s="65"/>
      <c r="I55" s="64"/>
      <c r="J55" s="64"/>
      <c r="K55" s="66"/>
      <c r="L55" s="67"/>
      <c r="M55" s="64"/>
      <c r="N55" s="64"/>
      <c r="O55" s="64"/>
      <c r="P55" s="68"/>
      <c r="Q55" s="69"/>
      <c r="R55" s="137"/>
      <c r="S55" s="69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43"/>
      <c r="AM55" s="243"/>
      <c r="AN55" s="243"/>
      <c r="AO55" s="243"/>
      <c r="AP55" s="243"/>
      <c r="AQ55" s="243"/>
      <c r="AR55" s="243"/>
      <c r="AS55" s="243"/>
      <c r="AT55" s="243"/>
      <c r="AU55" s="243"/>
      <c r="AV55" s="243"/>
      <c r="AW55" s="243"/>
      <c r="AX55" s="243"/>
      <c r="AY55" s="243"/>
      <c r="AZ55" s="243"/>
      <c r="BA55" s="243"/>
      <c r="BB55" s="243"/>
      <c r="BC55" s="243"/>
      <c r="BD55" s="243"/>
      <c r="BE55" s="243"/>
      <c r="BF55" s="243"/>
      <c r="BG55" s="243"/>
      <c r="BH55" s="243"/>
      <c r="BI55" s="243"/>
      <c r="BJ55" s="243"/>
      <c r="BK55" s="243"/>
      <c r="BL55" s="243"/>
      <c r="BM55" s="243"/>
      <c r="BN55" s="243"/>
      <c r="BO55" s="243"/>
      <c r="BP55" s="243"/>
      <c r="BQ55" s="243"/>
      <c r="BR55" s="243"/>
      <c r="BS55" s="243"/>
      <c r="BT55" s="243"/>
      <c r="BU55" s="243"/>
      <c r="BV55" s="243"/>
      <c r="BW55" s="243"/>
      <c r="BX55" s="243"/>
      <c r="BY55" s="243"/>
      <c r="BZ55" s="243"/>
      <c r="CA55" s="243"/>
      <c r="CB55" s="243"/>
      <c r="CC55" s="243"/>
      <c r="CD55" s="243"/>
      <c r="CE55" s="243"/>
      <c r="CF55" s="243"/>
      <c r="CG55" s="243"/>
      <c r="CH55" s="243"/>
      <c r="CI55" s="243"/>
      <c r="CJ55" s="243"/>
      <c r="CK55" s="243"/>
      <c r="CL55" s="243"/>
      <c r="CM55" s="243"/>
      <c r="CN55" s="243"/>
      <c r="CO55" s="243"/>
      <c r="CP55" s="243"/>
      <c r="CQ55" s="243"/>
      <c r="CR55" s="243"/>
      <c r="CS55" s="243"/>
      <c r="CT55" s="243"/>
      <c r="CU55" s="243"/>
      <c r="CV55" s="243"/>
      <c r="CW55" s="243"/>
      <c r="CX55" s="243"/>
      <c r="CY55" s="243"/>
      <c r="CZ55" s="243"/>
      <c r="DA55" s="243"/>
      <c r="DB55" s="243"/>
      <c r="DC55" s="243"/>
      <c r="DD55" s="243"/>
      <c r="DE55" s="243"/>
      <c r="DF55" s="243"/>
      <c r="DG55" s="243"/>
      <c r="DH55" s="243"/>
      <c r="DI55" s="243"/>
      <c r="DJ55" s="243"/>
      <c r="DK55" s="243"/>
      <c r="DL55" s="243"/>
      <c r="DM55" s="243"/>
      <c r="DN55" s="243"/>
      <c r="DO55" s="243"/>
      <c r="DP55" s="243"/>
      <c r="DQ55" s="243"/>
      <c r="DR55" s="243"/>
      <c r="DS55" s="243"/>
      <c r="DT55" s="243"/>
      <c r="DU55" s="243"/>
      <c r="DV55" s="243"/>
      <c r="DW55" s="243"/>
      <c r="DX55" s="243"/>
      <c r="DY55" s="243"/>
      <c r="DZ55" s="243"/>
      <c r="EA55" s="243"/>
      <c r="EB55" s="243"/>
      <c r="EC55" s="243"/>
      <c r="ED55" s="243"/>
      <c r="EE55" s="243"/>
      <c r="EF55" s="243"/>
      <c r="EG55" s="243"/>
      <c r="EH55" s="243"/>
      <c r="EI55" s="243"/>
      <c r="EJ55" s="243"/>
      <c r="EK55" s="243"/>
      <c r="EL55" s="243"/>
      <c r="EM55" s="243"/>
      <c r="EN55" s="243"/>
      <c r="EO55" s="243"/>
      <c r="EP55" s="243"/>
      <c r="EQ55" s="243"/>
      <c r="ER55" s="243"/>
      <c r="ES55" s="243"/>
      <c r="ET55" s="243"/>
      <c r="EU55" s="243"/>
      <c r="EV55" s="243"/>
      <c r="EW55" s="243"/>
      <c r="EX55" s="243"/>
      <c r="EY55" s="243"/>
      <c r="EZ55" s="243"/>
      <c r="FA55" s="243"/>
      <c r="FB55" s="243"/>
      <c r="FC55" s="243"/>
      <c r="FD55" s="243"/>
      <c r="FE55" s="243"/>
      <c r="FF55" s="243"/>
      <c r="FG55" s="243"/>
      <c r="FH55" s="243"/>
      <c r="FI55" s="243"/>
      <c r="FJ55" s="243"/>
      <c r="FK55" s="243"/>
      <c r="FL55" s="243"/>
      <c r="FM55" s="243"/>
      <c r="FN55" s="243"/>
      <c r="FO55" s="243"/>
      <c r="FP55" s="243"/>
      <c r="FQ55" s="243"/>
      <c r="FR55" s="243"/>
      <c r="FS55" s="243"/>
      <c r="FT55" s="243"/>
      <c r="FU55" s="243"/>
      <c r="FV55" s="243"/>
      <c r="FW55" s="243"/>
      <c r="FX55" s="243"/>
      <c r="FY55" s="243"/>
      <c r="FZ55" s="243"/>
      <c r="GA55" s="243"/>
      <c r="GB55" s="243"/>
      <c r="GC55" s="243"/>
      <c r="GD55" s="243"/>
      <c r="GE55" s="243"/>
      <c r="GF55" s="243"/>
      <c r="GG55" s="243"/>
      <c r="GH55" s="243"/>
      <c r="GI55" s="243"/>
      <c r="GJ55" s="243"/>
      <c r="GK55" s="243"/>
      <c r="GL55" s="243"/>
      <c r="GM55" s="243"/>
      <c r="GN55" s="243"/>
      <c r="GO55" s="243"/>
      <c r="GP55" s="243"/>
      <c r="GQ55" s="243"/>
      <c r="GR55" s="243"/>
      <c r="GS55" s="243"/>
      <c r="GT55" s="243"/>
      <c r="GU55" s="243"/>
      <c r="GV55" s="243"/>
      <c r="GW55" s="243"/>
      <c r="GX55" s="243"/>
      <c r="GY55" s="243"/>
      <c r="GZ55" s="243"/>
      <c r="HA55" s="243"/>
      <c r="HB55" s="243"/>
      <c r="HC55" s="243"/>
      <c r="HD55" s="243"/>
      <c r="HE55" s="243"/>
      <c r="HF55" s="243"/>
      <c r="HG55" s="243"/>
      <c r="HH55" s="243"/>
      <c r="HI55" s="243"/>
      <c r="HJ55" s="243"/>
      <c r="HK55" s="243"/>
      <c r="HL55" s="243"/>
      <c r="HM55" s="243"/>
      <c r="HN55" s="243"/>
      <c r="HO55" s="243"/>
      <c r="HP55" s="243"/>
      <c r="HQ55" s="243"/>
      <c r="HR55" s="243"/>
      <c r="HS55" s="243"/>
      <c r="HT55" s="243"/>
      <c r="HU55" s="243"/>
      <c r="HV55" s="243"/>
      <c r="HW55" s="243"/>
      <c r="HX55" s="243"/>
      <c r="HY55" s="243"/>
      <c r="HZ55" s="243"/>
      <c r="IA55" s="243"/>
    </row>
    <row r="56" spans="1:235" s="244" customFormat="1" ht="14.25" customHeight="1" x14ac:dyDescent="0.25">
      <c r="A56" s="241">
        <v>5</v>
      </c>
      <c r="B56" s="242" t="s">
        <v>108</v>
      </c>
      <c r="C56" s="363" t="s">
        <v>309</v>
      </c>
      <c r="D56" s="364" t="s">
        <v>124</v>
      </c>
      <c r="E56" s="365">
        <f>E52</f>
        <v>63.92</v>
      </c>
      <c r="F56" s="63"/>
      <c r="G56" s="64"/>
      <c r="H56" s="65"/>
      <c r="I56" s="64"/>
      <c r="J56" s="64"/>
      <c r="K56" s="66"/>
      <c r="L56" s="67"/>
      <c r="M56" s="64"/>
      <c r="N56" s="64"/>
      <c r="O56" s="64"/>
      <c r="P56" s="68"/>
      <c r="Q56" s="69"/>
      <c r="R56" s="137"/>
      <c r="S56" s="69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43"/>
      <c r="AM56" s="243"/>
      <c r="AN56" s="243"/>
      <c r="AO56" s="243"/>
      <c r="AP56" s="243"/>
      <c r="AQ56" s="243"/>
      <c r="AR56" s="243"/>
      <c r="AS56" s="243"/>
      <c r="AT56" s="243"/>
      <c r="AU56" s="243"/>
      <c r="AV56" s="243"/>
      <c r="AW56" s="243"/>
      <c r="AX56" s="243"/>
      <c r="AY56" s="243"/>
      <c r="AZ56" s="243"/>
      <c r="BA56" s="243"/>
      <c r="BB56" s="243"/>
      <c r="BC56" s="243"/>
      <c r="BD56" s="243"/>
      <c r="BE56" s="243"/>
      <c r="BF56" s="243"/>
      <c r="BG56" s="243"/>
      <c r="BH56" s="243"/>
      <c r="BI56" s="243"/>
      <c r="BJ56" s="243"/>
      <c r="BK56" s="243"/>
      <c r="BL56" s="243"/>
      <c r="BM56" s="243"/>
      <c r="BN56" s="243"/>
      <c r="BO56" s="243"/>
      <c r="BP56" s="243"/>
      <c r="BQ56" s="243"/>
      <c r="BR56" s="243"/>
      <c r="BS56" s="243"/>
      <c r="BT56" s="243"/>
      <c r="BU56" s="243"/>
      <c r="BV56" s="243"/>
      <c r="BW56" s="243"/>
      <c r="BX56" s="243"/>
      <c r="BY56" s="243"/>
      <c r="BZ56" s="243"/>
      <c r="CA56" s="243"/>
      <c r="CB56" s="243"/>
      <c r="CC56" s="243"/>
      <c r="CD56" s="243"/>
      <c r="CE56" s="243"/>
      <c r="CF56" s="243"/>
      <c r="CG56" s="243"/>
      <c r="CH56" s="243"/>
      <c r="CI56" s="243"/>
      <c r="CJ56" s="243"/>
      <c r="CK56" s="243"/>
      <c r="CL56" s="243"/>
      <c r="CM56" s="243"/>
      <c r="CN56" s="243"/>
      <c r="CO56" s="243"/>
      <c r="CP56" s="243"/>
      <c r="CQ56" s="243"/>
      <c r="CR56" s="243"/>
      <c r="CS56" s="243"/>
      <c r="CT56" s="243"/>
      <c r="CU56" s="243"/>
      <c r="CV56" s="243"/>
      <c r="CW56" s="243"/>
      <c r="CX56" s="243"/>
      <c r="CY56" s="243"/>
      <c r="CZ56" s="243"/>
      <c r="DA56" s="243"/>
      <c r="DB56" s="243"/>
      <c r="DC56" s="243"/>
      <c r="DD56" s="243"/>
      <c r="DE56" s="243"/>
      <c r="DF56" s="243"/>
      <c r="DG56" s="243"/>
      <c r="DH56" s="243"/>
      <c r="DI56" s="243"/>
      <c r="DJ56" s="243"/>
      <c r="DK56" s="243"/>
      <c r="DL56" s="243"/>
      <c r="DM56" s="243"/>
      <c r="DN56" s="243"/>
      <c r="DO56" s="243"/>
      <c r="DP56" s="243"/>
      <c r="DQ56" s="243"/>
      <c r="DR56" s="243"/>
      <c r="DS56" s="243"/>
      <c r="DT56" s="243"/>
      <c r="DU56" s="243"/>
      <c r="DV56" s="243"/>
      <c r="DW56" s="243"/>
      <c r="DX56" s="243"/>
      <c r="DY56" s="243"/>
      <c r="DZ56" s="243"/>
      <c r="EA56" s="243"/>
      <c r="EB56" s="243"/>
      <c r="EC56" s="243"/>
      <c r="ED56" s="243"/>
      <c r="EE56" s="243"/>
      <c r="EF56" s="243"/>
      <c r="EG56" s="243"/>
      <c r="EH56" s="243"/>
      <c r="EI56" s="243"/>
      <c r="EJ56" s="243"/>
      <c r="EK56" s="243"/>
      <c r="EL56" s="243"/>
      <c r="EM56" s="243"/>
      <c r="EN56" s="243"/>
      <c r="EO56" s="243"/>
      <c r="EP56" s="243"/>
      <c r="EQ56" s="243"/>
      <c r="ER56" s="243"/>
      <c r="ES56" s="243"/>
      <c r="ET56" s="243"/>
      <c r="EU56" s="243"/>
      <c r="EV56" s="243"/>
      <c r="EW56" s="243"/>
      <c r="EX56" s="243"/>
      <c r="EY56" s="243"/>
      <c r="EZ56" s="243"/>
      <c r="FA56" s="243"/>
      <c r="FB56" s="243"/>
      <c r="FC56" s="243"/>
      <c r="FD56" s="243"/>
      <c r="FE56" s="243"/>
      <c r="FF56" s="243"/>
      <c r="FG56" s="243"/>
      <c r="FH56" s="243"/>
      <c r="FI56" s="243"/>
      <c r="FJ56" s="243"/>
      <c r="FK56" s="243"/>
      <c r="FL56" s="243"/>
      <c r="FM56" s="243"/>
      <c r="FN56" s="243"/>
      <c r="FO56" s="243"/>
      <c r="FP56" s="243"/>
      <c r="FQ56" s="243"/>
      <c r="FR56" s="243"/>
      <c r="FS56" s="243"/>
      <c r="FT56" s="243"/>
      <c r="FU56" s="243"/>
      <c r="FV56" s="243"/>
      <c r="FW56" s="243"/>
      <c r="FX56" s="243"/>
      <c r="FY56" s="243"/>
      <c r="FZ56" s="243"/>
      <c r="GA56" s="243"/>
      <c r="GB56" s="243"/>
      <c r="GC56" s="243"/>
      <c r="GD56" s="243"/>
      <c r="GE56" s="243"/>
      <c r="GF56" s="243"/>
      <c r="GG56" s="243"/>
      <c r="GH56" s="243"/>
      <c r="GI56" s="243"/>
      <c r="GJ56" s="243"/>
      <c r="GK56" s="243"/>
      <c r="GL56" s="243"/>
      <c r="GM56" s="243"/>
      <c r="GN56" s="243"/>
      <c r="GO56" s="243"/>
      <c r="GP56" s="243"/>
      <c r="GQ56" s="243"/>
      <c r="GR56" s="243"/>
      <c r="GS56" s="243"/>
      <c r="GT56" s="243"/>
      <c r="GU56" s="243"/>
      <c r="GV56" s="243"/>
      <c r="GW56" s="243"/>
      <c r="GX56" s="243"/>
      <c r="GY56" s="243"/>
      <c r="GZ56" s="243"/>
      <c r="HA56" s="243"/>
      <c r="HB56" s="243"/>
      <c r="HC56" s="243"/>
      <c r="HD56" s="243"/>
      <c r="HE56" s="243"/>
      <c r="HF56" s="243"/>
      <c r="HG56" s="243"/>
      <c r="HH56" s="243"/>
      <c r="HI56" s="243"/>
      <c r="HJ56" s="243"/>
      <c r="HK56" s="243"/>
      <c r="HL56" s="243"/>
      <c r="HM56" s="243"/>
      <c r="HN56" s="243"/>
      <c r="HO56" s="243"/>
      <c r="HP56" s="243"/>
      <c r="HQ56" s="243"/>
      <c r="HR56" s="243"/>
      <c r="HS56" s="243"/>
      <c r="HT56" s="243"/>
      <c r="HU56" s="243"/>
      <c r="HV56" s="243"/>
      <c r="HW56" s="243"/>
      <c r="HX56" s="243"/>
      <c r="HY56" s="243"/>
      <c r="HZ56" s="243"/>
      <c r="IA56" s="243"/>
    </row>
    <row r="57" spans="1:235" s="244" customFormat="1" ht="52.5" customHeight="1" x14ac:dyDescent="0.25">
      <c r="A57" s="241">
        <v>6</v>
      </c>
      <c r="B57" s="242"/>
      <c r="C57" s="366" t="s">
        <v>676</v>
      </c>
      <c r="D57" s="364" t="s">
        <v>124</v>
      </c>
      <c r="E57" s="365">
        <f>E56*1.2</f>
        <v>76.703999999999994</v>
      </c>
      <c r="F57" s="63"/>
      <c r="G57" s="64"/>
      <c r="H57" s="65"/>
      <c r="I57" s="64"/>
      <c r="J57" s="64"/>
      <c r="K57" s="66"/>
      <c r="L57" s="67"/>
      <c r="M57" s="64"/>
      <c r="N57" s="64"/>
      <c r="O57" s="64"/>
      <c r="P57" s="68"/>
      <c r="Q57" s="69"/>
      <c r="R57" s="137"/>
      <c r="S57" s="69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43"/>
      <c r="AM57" s="243"/>
      <c r="AN57" s="243"/>
      <c r="AO57" s="243"/>
      <c r="AP57" s="243"/>
      <c r="AQ57" s="243"/>
      <c r="AR57" s="243"/>
      <c r="AS57" s="243"/>
      <c r="AT57" s="243"/>
      <c r="AU57" s="243"/>
      <c r="AV57" s="243"/>
      <c r="AW57" s="243"/>
      <c r="AX57" s="243"/>
      <c r="AY57" s="243"/>
      <c r="AZ57" s="243"/>
      <c r="BA57" s="243"/>
      <c r="BB57" s="243"/>
      <c r="BC57" s="243"/>
      <c r="BD57" s="243"/>
      <c r="BE57" s="243"/>
      <c r="BF57" s="243"/>
      <c r="BG57" s="243"/>
      <c r="BH57" s="243"/>
      <c r="BI57" s="243"/>
      <c r="BJ57" s="243"/>
      <c r="BK57" s="243"/>
      <c r="BL57" s="243"/>
      <c r="BM57" s="243"/>
      <c r="BN57" s="243"/>
      <c r="BO57" s="243"/>
      <c r="BP57" s="243"/>
      <c r="BQ57" s="243"/>
      <c r="BR57" s="243"/>
      <c r="BS57" s="243"/>
      <c r="BT57" s="243"/>
      <c r="BU57" s="243"/>
      <c r="BV57" s="243"/>
      <c r="BW57" s="243"/>
      <c r="BX57" s="243"/>
      <c r="BY57" s="243"/>
      <c r="BZ57" s="243"/>
      <c r="CA57" s="243"/>
      <c r="CB57" s="243"/>
      <c r="CC57" s="243"/>
      <c r="CD57" s="243"/>
      <c r="CE57" s="243"/>
      <c r="CF57" s="243"/>
      <c r="CG57" s="243"/>
      <c r="CH57" s="243"/>
      <c r="CI57" s="243"/>
      <c r="CJ57" s="243"/>
      <c r="CK57" s="243"/>
      <c r="CL57" s="243"/>
      <c r="CM57" s="243"/>
      <c r="CN57" s="243"/>
      <c r="CO57" s="243"/>
      <c r="CP57" s="243"/>
      <c r="CQ57" s="243"/>
      <c r="CR57" s="243"/>
      <c r="CS57" s="243"/>
      <c r="CT57" s="243"/>
      <c r="CU57" s="243"/>
      <c r="CV57" s="243"/>
      <c r="CW57" s="243"/>
      <c r="CX57" s="243"/>
      <c r="CY57" s="243"/>
      <c r="CZ57" s="243"/>
      <c r="DA57" s="243"/>
      <c r="DB57" s="243"/>
      <c r="DC57" s="243"/>
      <c r="DD57" s="243"/>
      <c r="DE57" s="243"/>
      <c r="DF57" s="243"/>
      <c r="DG57" s="243"/>
      <c r="DH57" s="243"/>
      <c r="DI57" s="243"/>
      <c r="DJ57" s="243"/>
      <c r="DK57" s="243"/>
      <c r="DL57" s="243"/>
      <c r="DM57" s="243"/>
      <c r="DN57" s="243"/>
      <c r="DO57" s="243"/>
      <c r="DP57" s="243"/>
      <c r="DQ57" s="243"/>
      <c r="DR57" s="243"/>
      <c r="DS57" s="243"/>
      <c r="DT57" s="243"/>
      <c r="DU57" s="243"/>
      <c r="DV57" s="243"/>
      <c r="DW57" s="243"/>
      <c r="DX57" s="243"/>
      <c r="DY57" s="243"/>
      <c r="DZ57" s="243"/>
      <c r="EA57" s="243"/>
      <c r="EB57" s="243"/>
      <c r="EC57" s="243"/>
      <c r="ED57" s="243"/>
      <c r="EE57" s="243"/>
      <c r="EF57" s="243"/>
      <c r="EG57" s="243"/>
      <c r="EH57" s="243"/>
      <c r="EI57" s="243"/>
      <c r="EJ57" s="243"/>
      <c r="EK57" s="243"/>
      <c r="EL57" s="243"/>
      <c r="EM57" s="243"/>
      <c r="EN57" s="243"/>
      <c r="EO57" s="243"/>
      <c r="EP57" s="243"/>
      <c r="EQ57" s="243"/>
      <c r="ER57" s="243"/>
      <c r="ES57" s="243"/>
      <c r="ET57" s="243"/>
      <c r="EU57" s="243"/>
      <c r="EV57" s="243"/>
      <c r="EW57" s="243"/>
      <c r="EX57" s="243"/>
      <c r="EY57" s="243"/>
      <c r="EZ57" s="243"/>
      <c r="FA57" s="243"/>
      <c r="FB57" s="243"/>
      <c r="FC57" s="243"/>
      <c r="FD57" s="243"/>
      <c r="FE57" s="243"/>
      <c r="FF57" s="243"/>
      <c r="FG57" s="243"/>
      <c r="FH57" s="243"/>
      <c r="FI57" s="243"/>
      <c r="FJ57" s="243"/>
      <c r="FK57" s="243"/>
      <c r="FL57" s="243"/>
      <c r="FM57" s="243"/>
      <c r="FN57" s="243"/>
      <c r="FO57" s="243"/>
      <c r="FP57" s="243"/>
      <c r="FQ57" s="243"/>
      <c r="FR57" s="243"/>
      <c r="FS57" s="243"/>
      <c r="FT57" s="243"/>
      <c r="FU57" s="243"/>
      <c r="FV57" s="243"/>
      <c r="FW57" s="243"/>
      <c r="FX57" s="243"/>
      <c r="FY57" s="243"/>
      <c r="FZ57" s="243"/>
      <c r="GA57" s="243"/>
      <c r="GB57" s="243"/>
      <c r="GC57" s="243"/>
      <c r="GD57" s="243"/>
      <c r="GE57" s="243"/>
      <c r="GF57" s="243"/>
      <c r="GG57" s="243"/>
      <c r="GH57" s="243"/>
      <c r="GI57" s="243"/>
      <c r="GJ57" s="243"/>
      <c r="GK57" s="243"/>
      <c r="GL57" s="243"/>
      <c r="GM57" s="243"/>
      <c r="GN57" s="243"/>
      <c r="GO57" s="243"/>
      <c r="GP57" s="243"/>
      <c r="GQ57" s="243"/>
      <c r="GR57" s="243"/>
      <c r="GS57" s="243"/>
      <c r="GT57" s="243"/>
      <c r="GU57" s="243"/>
      <c r="GV57" s="243"/>
      <c r="GW57" s="243"/>
      <c r="GX57" s="243"/>
      <c r="GY57" s="243"/>
      <c r="GZ57" s="243"/>
      <c r="HA57" s="243"/>
      <c r="HB57" s="243"/>
      <c r="HC57" s="243"/>
      <c r="HD57" s="243"/>
      <c r="HE57" s="243"/>
      <c r="HF57" s="243"/>
      <c r="HG57" s="243"/>
      <c r="HH57" s="243"/>
      <c r="HI57" s="243"/>
      <c r="HJ57" s="243"/>
      <c r="HK57" s="243"/>
      <c r="HL57" s="243"/>
      <c r="HM57" s="243"/>
      <c r="HN57" s="243"/>
      <c r="HO57" s="243"/>
      <c r="HP57" s="243"/>
      <c r="HQ57" s="243"/>
      <c r="HR57" s="243"/>
      <c r="HS57" s="243"/>
      <c r="HT57" s="243"/>
      <c r="HU57" s="243"/>
      <c r="HV57" s="243"/>
      <c r="HW57" s="243"/>
      <c r="HX57" s="243"/>
      <c r="HY57" s="243"/>
      <c r="HZ57" s="243"/>
      <c r="IA57" s="243"/>
    </row>
    <row r="58" spans="1:235" s="244" customFormat="1" ht="14.25" customHeight="1" x14ac:dyDescent="0.25">
      <c r="A58" s="241">
        <v>7</v>
      </c>
      <c r="B58" s="242"/>
      <c r="C58" s="366" t="s">
        <v>677</v>
      </c>
      <c r="D58" s="364" t="s">
        <v>180</v>
      </c>
      <c r="E58" s="365">
        <f>E56*0.35*1.1</f>
        <v>24.609200000000001</v>
      </c>
      <c r="F58" s="63"/>
      <c r="G58" s="64"/>
      <c r="H58" s="65"/>
      <c r="I58" s="64"/>
      <c r="J58" s="64"/>
      <c r="K58" s="66"/>
      <c r="L58" s="67"/>
      <c r="M58" s="64"/>
      <c r="N58" s="64"/>
      <c r="O58" s="64"/>
      <c r="P58" s="68"/>
      <c r="Q58" s="69"/>
      <c r="R58" s="137"/>
      <c r="S58" s="69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3"/>
      <c r="AI58" s="243"/>
      <c r="AJ58" s="243"/>
      <c r="AK58" s="243"/>
      <c r="AL58" s="243"/>
      <c r="AM58" s="243"/>
      <c r="AN58" s="243"/>
      <c r="AO58" s="243"/>
      <c r="AP58" s="243"/>
      <c r="AQ58" s="243"/>
      <c r="AR58" s="243"/>
      <c r="AS58" s="243"/>
      <c r="AT58" s="243"/>
      <c r="AU58" s="243"/>
      <c r="AV58" s="243"/>
      <c r="AW58" s="243"/>
      <c r="AX58" s="243"/>
      <c r="AY58" s="243"/>
      <c r="AZ58" s="243"/>
      <c r="BA58" s="243"/>
      <c r="BB58" s="243"/>
      <c r="BC58" s="243"/>
      <c r="BD58" s="243"/>
      <c r="BE58" s="243"/>
      <c r="BF58" s="243"/>
      <c r="BG58" s="243"/>
      <c r="BH58" s="243"/>
      <c r="BI58" s="243"/>
      <c r="BJ58" s="243"/>
      <c r="BK58" s="243"/>
      <c r="BL58" s="243"/>
      <c r="BM58" s="243"/>
      <c r="BN58" s="243"/>
      <c r="BO58" s="243"/>
      <c r="BP58" s="243"/>
      <c r="BQ58" s="243"/>
      <c r="BR58" s="243"/>
      <c r="BS58" s="243"/>
      <c r="BT58" s="243"/>
      <c r="BU58" s="243"/>
      <c r="BV58" s="243"/>
      <c r="BW58" s="243"/>
      <c r="BX58" s="243"/>
      <c r="BY58" s="243"/>
      <c r="BZ58" s="243"/>
      <c r="CA58" s="243"/>
      <c r="CB58" s="243"/>
      <c r="CC58" s="243"/>
      <c r="CD58" s="243"/>
      <c r="CE58" s="243"/>
      <c r="CF58" s="243"/>
      <c r="CG58" s="243"/>
      <c r="CH58" s="243"/>
      <c r="CI58" s="243"/>
      <c r="CJ58" s="243"/>
      <c r="CK58" s="243"/>
      <c r="CL58" s="243"/>
      <c r="CM58" s="243"/>
      <c r="CN58" s="243"/>
      <c r="CO58" s="243"/>
      <c r="CP58" s="243"/>
      <c r="CQ58" s="243"/>
      <c r="CR58" s="243"/>
      <c r="CS58" s="243"/>
      <c r="CT58" s="243"/>
      <c r="CU58" s="243"/>
      <c r="CV58" s="243"/>
      <c r="CW58" s="243"/>
      <c r="CX58" s="243"/>
      <c r="CY58" s="243"/>
      <c r="CZ58" s="243"/>
      <c r="DA58" s="243"/>
      <c r="DB58" s="243"/>
      <c r="DC58" s="243"/>
      <c r="DD58" s="243"/>
      <c r="DE58" s="243"/>
      <c r="DF58" s="243"/>
      <c r="DG58" s="243"/>
      <c r="DH58" s="243"/>
      <c r="DI58" s="243"/>
      <c r="DJ58" s="243"/>
      <c r="DK58" s="243"/>
      <c r="DL58" s="243"/>
      <c r="DM58" s="243"/>
      <c r="DN58" s="243"/>
      <c r="DO58" s="243"/>
      <c r="DP58" s="243"/>
      <c r="DQ58" s="243"/>
      <c r="DR58" s="243"/>
      <c r="DS58" s="243"/>
      <c r="DT58" s="243"/>
      <c r="DU58" s="243"/>
      <c r="DV58" s="243"/>
      <c r="DW58" s="243"/>
      <c r="DX58" s="243"/>
      <c r="DY58" s="243"/>
      <c r="DZ58" s="243"/>
      <c r="EA58" s="243"/>
      <c r="EB58" s="243"/>
      <c r="EC58" s="243"/>
      <c r="ED58" s="243"/>
      <c r="EE58" s="243"/>
      <c r="EF58" s="243"/>
      <c r="EG58" s="243"/>
      <c r="EH58" s="243"/>
      <c r="EI58" s="243"/>
      <c r="EJ58" s="243"/>
      <c r="EK58" s="243"/>
      <c r="EL58" s="243"/>
      <c r="EM58" s="243"/>
      <c r="EN58" s="243"/>
      <c r="EO58" s="243"/>
      <c r="EP58" s="243"/>
      <c r="EQ58" s="243"/>
      <c r="ER58" s="243"/>
      <c r="ES58" s="243"/>
      <c r="ET58" s="243"/>
      <c r="EU58" s="243"/>
      <c r="EV58" s="243"/>
      <c r="EW58" s="243"/>
      <c r="EX58" s="243"/>
      <c r="EY58" s="243"/>
      <c r="EZ58" s="243"/>
      <c r="FA58" s="243"/>
      <c r="FB58" s="243"/>
      <c r="FC58" s="243"/>
      <c r="FD58" s="243"/>
      <c r="FE58" s="243"/>
      <c r="FF58" s="243"/>
      <c r="FG58" s="243"/>
      <c r="FH58" s="243"/>
      <c r="FI58" s="243"/>
      <c r="FJ58" s="243"/>
      <c r="FK58" s="243"/>
      <c r="FL58" s="243"/>
      <c r="FM58" s="243"/>
      <c r="FN58" s="243"/>
      <c r="FO58" s="243"/>
      <c r="FP58" s="243"/>
      <c r="FQ58" s="243"/>
      <c r="FR58" s="243"/>
      <c r="FS58" s="243"/>
      <c r="FT58" s="243"/>
      <c r="FU58" s="243"/>
      <c r="FV58" s="243"/>
      <c r="FW58" s="243"/>
      <c r="FX58" s="243"/>
      <c r="FY58" s="243"/>
      <c r="FZ58" s="243"/>
      <c r="GA58" s="243"/>
      <c r="GB58" s="243"/>
      <c r="GC58" s="243"/>
      <c r="GD58" s="243"/>
      <c r="GE58" s="243"/>
      <c r="GF58" s="243"/>
      <c r="GG58" s="243"/>
      <c r="GH58" s="243"/>
      <c r="GI58" s="243"/>
      <c r="GJ58" s="243"/>
      <c r="GK58" s="243"/>
      <c r="GL58" s="243"/>
      <c r="GM58" s="243"/>
      <c r="GN58" s="243"/>
      <c r="GO58" s="243"/>
      <c r="GP58" s="243"/>
      <c r="GQ58" s="243"/>
      <c r="GR58" s="243"/>
      <c r="GS58" s="243"/>
      <c r="GT58" s="243"/>
      <c r="GU58" s="243"/>
      <c r="GV58" s="243"/>
      <c r="GW58" s="243"/>
      <c r="GX58" s="243"/>
      <c r="GY58" s="243"/>
      <c r="GZ58" s="243"/>
      <c r="HA58" s="243"/>
      <c r="HB58" s="243"/>
      <c r="HC58" s="243"/>
      <c r="HD58" s="243"/>
      <c r="HE58" s="243"/>
      <c r="HF58" s="243"/>
      <c r="HG58" s="243"/>
      <c r="HH58" s="243"/>
      <c r="HI58" s="243"/>
      <c r="HJ58" s="243"/>
      <c r="HK58" s="243"/>
      <c r="HL58" s="243"/>
      <c r="HM58" s="243"/>
      <c r="HN58" s="243"/>
      <c r="HO58" s="243"/>
      <c r="HP58" s="243"/>
      <c r="HQ58" s="243"/>
      <c r="HR58" s="243"/>
      <c r="HS58" s="243"/>
      <c r="HT58" s="243"/>
      <c r="HU58" s="243"/>
      <c r="HV58" s="243"/>
      <c r="HW58" s="243"/>
      <c r="HX58" s="243"/>
      <c r="HY58" s="243"/>
      <c r="HZ58" s="243"/>
      <c r="IA58" s="243"/>
    </row>
    <row r="59" spans="1:235" s="244" customFormat="1" ht="14.25" customHeight="1" x14ac:dyDescent="0.25">
      <c r="A59" s="241">
        <v>8</v>
      </c>
      <c r="B59" s="242"/>
      <c r="C59" s="366" t="s">
        <v>310</v>
      </c>
      <c r="D59" s="364" t="s">
        <v>110</v>
      </c>
      <c r="E59" s="365">
        <f>E56*0.7*1.1</f>
        <v>49.218400000000003</v>
      </c>
      <c r="F59" s="63"/>
      <c r="G59" s="64"/>
      <c r="H59" s="65"/>
      <c r="I59" s="64"/>
      <c r="J59" s="64"/>
      <c r="K59" s="66"/>
      <c r="L59" s="67"/>
      <c r="M59" s="64"/>
      <c r="N59" s="64"/>
      <c r="O59" s="64"/>
      <c r="P59" s="68"/>
      <c r="Q59" s="69"/>
      <c r="R59" s="137"/>
      <c r="S59" s="69"/>
      <c r="T59" s="243"/>
      <c r="U59" s="243"/>
      <c r="V59" s="243"/>
      <c r="W59" s="243"/>
      <c r="X59" s="243"/>
      <c r="Y59" s="243"/>
      <c r="Z59" s="243"/>
      <c r="AA59" s="243"/>
      <c r="AB59" s="243"/>
      <c r="AC59" s="243"/>
      <c r="AD59" s="243"/>
      <c r="AE59" s="243"/>
      <c r="AF59" s="243"/>
      <c r="AG59" s="243"/>
      <c r="AH59" s="243"/>
      <c r="AI59" s="243"/>
      <c r="AJ59" s="243"/>
      <c r="AK59" s="243"/>
      <c r="AL59" s="243"/>
      <c r="AM59" s="243"/>
      <c r="AN59" s="243"/>
      <c r="AO59" s="243"/>
      <c r="AP59" s="243"/>
      <c r="AQ59" s="243"/>
      <c r="AR59" s="243"/>
      <c r="AS59" s="243"/>
      <c r="AT59" s="243"/>
      <c r="AU59" s="243"/>
      <c r="AV59" s="243"/>
      <c r="AW59" s="243"/>
      <c r="AX59" s="243"/>
      <c r="AY59" s="243"/>
      <c r="AZ59" s="243"/>
      <c r="BA59" s="243"/>
      <c r="BB59" s="243"/>
      <c r="BC59" s="243"/>
      <c r="BD59" s="243"/>
      <c r="BE59" s="243"/>
      <c r="BF59" s="243"/>
      <c r="BG59" s="243"/>
      <c r="BH59" s="243"/>
      <c r="BI59" s="243"/>
      <c r="BJ59" s="243"/>
      <c r="BK59" s="243"/>
      <c r="BL59" s="243"/>
      <c r="BM59" s="243"/>
      <c r="BN59" s="243"/>
      <c r="BO59" s="243"/>
      <c r="BP59" s="243"/>
      <c r="BQ59" s="243"/>
      <c r="BR59" s="243"/>
      <c r="BS59" s="243"/>
      <c r="BT59" s="243"/>
      <c r="BU59" s="243"/>
      <c r="BV59" s="243"/>
      <c r="BW59" s="243"/>
      <c r="BX59" s="243"/>
      <c r="BY59" s="243"/>
      <c r="BZ59" s="243"/>
      <c r="CA59" s="243"/>
      <c r="CB59" s="243"/>
      <c r="CC59" s="243"/>
      <c r="CD59" s="243"/>
      <c r="CE59" s="243"/>
      <c r="CF59" s="243"/>
      <c r="CG59" s="243"/>
      <c r="CH59" s="243"/>
      <c r="CI59" s="243"/>
      <c r="CJ59" s="243"/>
      <c r="CK59" s="243"/>
      <c r="CL59" s="243"/>
      <c r="CM59" s="243"/>
      <c r="CN59" s="243"/>
      <c r="CO59" s="243"/>
      <c r="CP59" s="243"/>
      <c r="CQ59" s="243"/>
      <c r="CR59" s="243"/>
      <c r="CS59" s="243"/>
      <c r="CT59" s="243"/>
      <c r="CU59" s="243"/>
      <c r="CV59" s="243"/>
      <c r="CW59" s="243"/>
      <c r="CX59" s="243"/>
      <c r="CY59" s="243"/>
      <c r="CZ59" s="243"/>
      <c r="DA59" s="243"/>
      <c r="DB59" s="243"/>
      <c r="DC59" s="243"/>
      <c r="DD59" s="243"/>
      <c r="DE59" s="243"/>
      <c r="DF59" s="243"/>
      <c r="DG59" s="243"/>
      <c r="DH59" s="243"/>
      <c r="DI59" s="243"/>
      <c r="DJ59" s="243"/>
      <c r="DK59" s="243"/>
      <c r="DL59" s="243"/>
      <c r="DM59" s="243"/>
      <c r="DN59" s="243"/>
      <c r="DO59" s="243"/>
      <c r="DP59" s="243"/>
      <c r="DQ59" s="243"/>
      <c r="DR59" s="243"/>
      <c r="DS59" s="243"/>
      <c r="DT59" s="243"/>
      <c r="DU59" s="243"/>
      <c r="DV59" s="243"/>
      <c r="DW59" s="243"/>
      <c r="DX59" s="243"/>
      <c r="DY59" s="243"/>
      <c r="DZ59" s="243"/>
      <c r="EA59" s="243"/>
      <c r="EB59" s="243"/>
      <c r="EC59" s="243"/>
      <c r="ED59" s="243"/>
      <c r="EE59" s="243"/>
      <c r="EF59" s="243"/>
      <c r="EG59" s="243"/>
      <c r="EH59" s="243"/>
      <c r="EI59" s="243"/>
      <c r="EJ59" s="243"/>
      <c r="EK59" s="243"/>
      <c r="EL59" s="243"/>
      <c r="EM59" s="243"/>
      <c r="EN59" s="243"/>
      <c r="EO59" s="243"/>
      <c r="EP59" s="243"/>
      <c r="EQ59" s="243"/>
      <c r="ER59" s="243"/>
      <c r="ES59" s="243"/>
      <c r="ET59" s="243"/>
      <c r="EU59" s="243"/>
      <c r="EV59" s="243"/>
      <c r="EW59" s="243"/>
      <c r="EX59" s="243"/>
      <c r="EY59" s="243"/>
      <c r="EZ59" s="243"/>
      <c r="FA59" s="243"/>
      <c r="FB59" s="243"/>
      <c r="FC59" s="243"/>
      <c r="FD59" s="243"/>
      <c r="FE59" s="243"/>
      <c r="FF59" s="243"/>
      <c r="FG59" s="243"/>
      <c r="FH59" s="243"/>
      <c r="FI59" s="243"/>
      <c r="FJ59" s="243"/>
      <c r="FK59" s="243"/>
      <c r="FL59" s="243"/>
      <c r="FM59" s="243"/>
      <c r="FN59" s="243"/>
      <c r="FO59" s="243"/>
      <c r="FP59" s="243"/>
      <c r="FQ59" s="243"/>
      <c r="FR59" s="243"/>
      <c r="FS59" s="243"/>
      <c r="FT59" s="243"/>
      <c r="FU59" s="243"/>
      <c r="FV59" s="243"/>
      <c r="FW59" s="243"/>
      <c r="FX59" s="243"/>
      <c r="FY59" s="243"/>
      <c r="FZ59" s="243"/>
      <c r="GA59" s="243"/>
      <c r="GB59" s="243"/>
      <c r="GC59" s="243"/>
      <c r="GD59" s="243"/>
      <c r="GE59" s="243"/>
      <c r="GF59" s="243"/>
      <c r="GG59" s="243"/>
      <c r="GH59" s="243"/>
      <c r="GI59" s="243"/>
      <c r="GJ59" s="243"/>
      <c r="GK59" s="243"/>
      <c r="GL59" s="243"/>
      <c r="GM59" s="243"/>
      <c r="GN59" s="243"/>
      <c r="GO59" s="243"/>
      <c r="GP59" s="243"/>
      <c r="GQ59" s="243"/>
      <c r="GR59" s="243"/>
      <c r="GS59" s="243"/>
      <c r="GT59" s="243"/>
      <c r="GU59" s="243"/>
      <c r="GV59" s="243"/>
      <c r="GW59" s="243"/>
      <c r="GX59" s="243"/>
      <c r="GY59" s="243"/>
      <c r="GZ59" s="243"/>
      <c r="HA59" s="243"/>
      <c r="HB59" s="243"/>
      <c r="HC59" s="243"/>
      <c r="HD59" s="243"/>
      <c r="HE59" s="243"/>
      <c r="HF59" s="243"/>
      <c r="HG59" s="243"/>
      <c r="HH59" s="243"/>
      <c r="HI59" s="243"/>
      <c r="HJ59" s="243"/>
      <c r="HK59" s="243"/>
      <c r="HL59" s="243"/>
      <c r="HM59" s="243"/>
      <c r="HN59" s="243"/>
      <c r="HO59" s="243"/>
      <c r="HP59" s="243"/>
      <c r="HQ59" s="243"/>
      <c r="HR59" s="243"/>
      <c r="HS59" s="243"/>
      <c r="HT59" s="243"/>
      <c r="HU59" s="243"/>
      <c r="HV59" s="243"/>
      <c r="HW59" s="243"/>
      <c r="HX59" s="243"/>
      <c r="HY59" s="243"/>
      <c r="HZ59" s="243"/>
      <c r="IA59" s="243"/>
    </row>
    <row r="60" spans="1:235" s="244" customFormat="1" ht="14.25" customHeight="1" x14ac:dyDescent="0.25">
      <c r="A60" s="241"/>
      <c r="B60" s="242"/>
      <c r="C60" s="367" t="s">
        <v>614</v>
      </c>
      <c r="D60" s="364"/>
      <c r="E60" s="365"/>
      <c r="F60" s="63"/>
      <c r="G60" s="64"/>
      <c r="H60" s="65"/>
      <c r="I60" s="64"/>
      <c r="J60" s="64"/>
      <c r="K60" s="66"/>
      <c r="L60" s="67"/>
      <c r="M60" s="64"/>
      <c r="N60" s="64"/>
      <c r="O60" s="64"/>
      <c r="P60" s="68"/>
      <c r="Q60" s="69"/>
      <c r="R60" s="137"/>
      <c r="S60" s="69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3"/>
      <c r="AK60" s="243"/>
      <c r="AL60" s="243"/>
      <c r="AM60" s="243"/>
      <c r="AN60" s="243"/>
      <c r="AO60" s="243"/>
      <c r="AP60" s="243"/>
      <c r="AQ60" s="243"/>
      <c r="AR60" s="243"/>
      <c r="AS60" s="243"/>
      <c r="AT60" s="243"/>
      <c r="AU60" s="243"/>
      <c r="AV60" s="243"/>
      <c r="AW60" s="243"/>
      <c r="AX60" s="243"/>
      <c r="AY60" s="243"/>
      <c r="AZ60" s="243"/>
      <c r="BA60" s="243"/>
      <c r="BB60" s="243"/>
      <c r="BC60" s="243"/>
      <c r="BD60" s="243"/>
      <c r="BE60" s="243"/>
      <c r="BF60" s="243"/>
      <c r="BG60" s="243"/>
      <c r="BH60" s="243"/>
      <c r="BI60" s="243"/>
      <c r="BJ60" s="243"/>
      <c r="BK60" s="243"/>
      <c r="BL60" s="243"/>
      <c r="BM60" s="243"/>
      <c r="BN60" s="243"/>
      <c r="BO60" s="243"/>
      <c r="BP60" s="243"/>
      <c r="BQ60" s="243"/>
      <c r="BR60" s="243"/>
      <c r="BS60" s="243"/>
      <c r="BT60" s="243"/>
      <c r="BU60" s="243"/>
      <c r="BV60" s="243"/>
      <c r="BW60" s="243"/>
      <c r="BX60" s="243"/>
      <c r="BY60" s="243"/>
      <c r="BZ60" s="243"/>
      <c r="CA60" s="243"/>
      <c r="CB60" s="243"/>
      <c r="CC60" s="243"/>
      <c r="CD60" s="243"/>
      <c r="CE60" s="243"/>
      <c r="CF60" s="243"/>
      <c r="CG60" s="243"/>
      <c r="CH60" s="243"/>
      <c r="CI60" s="243"/>
      <c r="CJ60" s="243"/>
      <c r="CK60" s="243"/>
      <c r="CL60" s="243"/>
      <c r="CM60" s="243"/>
      <c r="CN60" s="243"/>
      <c r="CO60" s="243"/>
      <c r="CP60" s="243"/>
      <c r="CQ60" s="243"/>
      <c r="CR60" s="243"/>
      <c r="CS60" s="243"/>
      <c r="CT60" s="243"/>
      <c r="CU60" s="243"/>
      <c r="CV60" s="243"/>
      <c r="CW60" s="243"/>
      <c r="CX60" s="243"/>
      <c r="CY60" s="243"/>
      <c r="CZ60" s="243"/>
      <c r="DA60" s="243"/>
      <c r="DB60" s="243"/>
      <c r="DC60" s="243"/>
      <c r="DD60" s="243"/>
      <c r="DE60" s="243"/>
      <c r="DF60" s="243"/>
      <c r="DG60" s="243"/>
      <c r="DH60" s="243"/>
      <c r="DI60" s="243"/>
      <c r="DJ60" s="243"/>
      <c r="DK60" s="243"/>
      <c r="DL60" s="243"/>
      <c r="DM60" s="243"/>
      <c r="DN60" s="243"/>
      <c r="DO60" s="243"/>
      <c r="DP60" s="243"/>
      <c r="DQ60" s="243"/>
      <c r="DR60" s="243"/>
      <c r="DS60" s="243"/>
      <c r="DT60" s="243"/>
      <c r="DU60" s="243"/>
      <c r="DV60" s="243"/>
      <c r="DW60" s="243"/>
      <c r="DX60" s="243"/>
      <c r="DY60" s="243"/>
      <c r="DZ60" s="243"/>
      <c r="EA60" s="243"/>
      <c r="EB60" s="243"/>
      <c r="EC60" s="243"/>
      <c r="ED60" s="243"/>
      <c r="EE60" s="243"/>
      <c r="EF60" s="243"/>
      <c r="EG60" s="243"/>
      <c r="EH60" s="243"/>
      <c r="EI60" s="243"/>
      <c r="EJ60" s="243"/>
      <c r="EK60" s="243"/>
      <c r="EL60" s="243"/>
      <c r="EM60" s="243"/>
      <c r="EN60" s="243"/>
      <c r="EO60" s="243"/>
      <c r="EP60" s="243"/>
      <c r="EQ60" s="243"/>
      <c r="ER60" s="243"/>
      <c r="ES60" s="243"/>
      <c r="ET60" s="243"/>
      <c r="EU60" s="243"/>
      <c r="EV60" s="243"/>
      <c r="EW60" s="243"/>
      <c r="EX60" s="243"/>
      <c r="EY60" s="243"/>
      <c r="EZ60" s="243"/>
      <c r="FA60" s="243"/>
      <c r="FB60" s="243"/>
      <c r="FC60" s="243"/>
      <c r="FD60" s="243"/>
      <c r="FE60" s="243"/>
      <c r="FF60" s="243"/>
      <c r="FG60" s="243"/>
      <c r="FH60" s="243"/>
      <c r="FI60" s="243"/>
      <c r="FJ60" s="243"/>
      <c r="FK60" s="243"/>
      <c r="FL60" s="243"/>
      <c r="FM60" s="243"/>
      <c r="FN60" s="243"/>
      <c r="FO60" s="243"/>
      <c r="FP60" s="243"/>
      <c r="FQ60" s="243"/>
      <c r="FR60" s="243"/>
      <c r="FS60" s="243"/>
      <c r="FT60" s="243"/>
      <c r="FU60" s="243"/>
      <c r="FV60" s="243"/>
      <c r="FW60" s="243"/>
      <c r="FX60" s="243"/>
      <c r="FY60" s="243"/>
      <c r="FZ60" s="243"/>
      <c r="GA60" s="243"/>
      <c r="GB60" s="243"/>
      <c r="GC60" s="243"/>
      <c r="GD60" s="243"/>
      <c r="GE60" s="243"/>
      <c r="GF60" s="243"/>
      <c r="GG60" s="243"/>
      <c r="GH60" s="243"/>
      <c r="GI60" s="243"/>
      <c r="GJ60" s="243"/>
      <c r="GK60" s="243"/>
      <c r="GL60" s="243"/>
      <c r="GM60" s="243"/>
      <c r="GN60" s="243"/>
      <c r="GO60" s="243"/>
      <c r="GP60" s="243"/>
      <c r="GQ60" s="243"/>
      <c r="GR60" s="243"/>
      <c r="GS60" s="243"/>
      <c r="GT60" s="243"/>
      <c r="GU60" s="243"/>
      <c r="GV60" s="243"/>
      <c r="GW60" s="243"/>
      <c r="GX60" s="243"/>
      <c r="GY60" s="243"/>
      <c r="GZ60" s="243"/>
      <c r="HA60" s="243"/>
      <c r="HB60" s="243"/>
      <c r="HC60" s="243"/>
      <c r="HD60" s="243"/>
      <c r="HE60" s="243"/>
      <c r="HF60" s="243"/>
      <c r="HG60" s="243"/>
      <c r="HH60" s="243"/>
      <c r="HI60" s="243"/>
      <c r="HJ60" s="243"/>
      <c r="HK60" s="243"/>
      <c r="HL60" s="243"/>
      <c r="HM60" s="243"/>
      <c r="HN60" s="243"/>
      <c r="HO60" s="243"/>
      <c r="HP60" s="243"/>
      <c r="HQ60" s="243"/>
      <c r="HR60" s="243"/>
      <c r="HS60" s="243"/>
      <c r="HT60" s="243"/>
      <c r="HU60" s="243"/>
      <c r="HV60" s="243"/>
      <c r="HW60" s="243"/>
      <c r="HX60" s="243"/>
      <c r="HY60" s="243"/>
      <c r="HZ60" s="243"/>
      <c r="IA60" s="243"/>
    </row>
    <row r="61" spans="1:235" s="244" customFormat="1" ht="27.6" customHeight="1" x14ac:dyDescent="0.25">
      <c r="A61" s="241">
        <v>1</v>
      </c>
      <c r="B61" s="242" t="s">
        <v>108</v>
      </c>
      <c r="C61" s="363" t="s">
        <v>316</v>
      </c>
      <c r="D61" s="364" t="s">
        <v>110</v>
      </c>
      <c r="E61" s="365">
        <v>237.5</v>
      </c>
      <c r="F61" s="63"/>
      <c r="G61" s="64"/>
      <c r="H61" s="65"/>
      <c r="I61" s="64"/>
      <c r="J61" s="64"/>
      <c r="K61" s="66"/>
      <c r="L61" s="67"/>
      <c r="M61" s="64"/>
      <c r="N61" s="64"/>
      <c r="O61" s="64"/>
      <c r="P61" s="68"/>
      <c r="Q61" s="69"/>
      <c r="R61" s="137"/>
      <c r="S61" s="69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3"/>
      <c r="AK61" s="243"/>
      <c r="AL61" s="243"/>
      <c r="AM61" s="243"/>
      <c r="AN61" s="243"/>
      <c r="AO61" s="243"/>
      <c r="AP61" s="243"/>
      <c r="AQ61" s="243"/>
      <c r="AR61" s="243"/>
      <c r="AS61" s="243"/>
      <c r="AT61" s="243"/>
      <c r="AU61" s="243"/>
      <c r="AV61" s="243"/>
      <c r="AW61" s="243"/>
      <c r="AX61" s="243"/>
      <c r="AY61" s="243"/>
      <c r="AZ61" s="243"/>
      <c r="BA61" s="243"/>
      <c r="BB61" s="243"/>
      <c r="BC61" s="243"/>
      <c r="BD61" s="243"/>
      <c r="BE61" s="243"/>
      <c r="BF61" s="243"/>
      <c r="BG61" s="243"/>
      <c r="BH61" s="243"/>
      <c r="BI61" s="243"/>
      <c r="BJ61" s="243"/>
      <c r="BK61" s="243"/>
      <c r="BL61" s="243"/>
      <c r="BM61" s="243"/>
      <c r="BN61" s="243"/>
      <c r="BO61" s="243"/>
      <c r="BP61" s="243"/>
      <c r="BQ61" s="243"/>
      <c r="BR61" s="243"/>
      <c r="BS61" s="243"/>
      <c r="BT61" s="243"/>
      <c r="BU61" s="243"/>
      <c r="BV61" s="243"/>
      <c r="BW61" s="243"/>
      <c r="BX61" s="243"/>
      <c r="BY61" s="243"/>
      <c r="BZ61" s="243"/>
      <c r="CA61" s="243"/>
      <c r="CB61" s="243"/>
      <c r="CC61" s="243"/>
      <c r="CD61" s="243"/>
      <c r="CE61" s="243"/>
      <c r="CF61" s="243"/>
      <c r="CG61" s="243"/>
      <c r="CH61" s="243"/>
      <c r="CI61" s="243"/>
      <c r="CJ61" s="243"/>
      <c r="CK61" s="243"/>
      <c r="CL61" s="243"/>
      <c r="CM61" s="243"/>
      <c r="CN61" s="243"/>
      <c r="CO61" s="243"/>
      <c r="CP61" s="243"/>
      <c r="CQ61" s="243"/>
      <c r="CR61" s="243"/>
      <c r="CS61" s="243"/>
      <c r="CT61" s="243"/>
      <c r="CU61" s="243"/>
      <c r="CV61" s="243"/>
      <c r="CW61" s="243"/>
      <c r="CX61" s="243"/>
      <c r="CY61" s="243"/>
      <c r="CZ61" s="243"/>
      <c r="DA61" s="243"/>
      <c r="DB61" s="243"/>
      <c r="DC61" s="243"/>
      <c r="DD61" s="243"/>
      <c r="DE61" s="243"/>
      <c r="DF61" s="243"/>
      <c r="DG61" s="243"/>
      <c r="DH61" s="243"/>
      <c r="DI61" s="243"/>
      <c r="DJ61" s="243"/>
      <c r="DK61" s="243"/>
      <c r="DL61" s="243"/>
      <c r="DM61" s="243"/>
      <c r="DN61" s="243"/>
      <c r="DO61" s="243"/>
      <c r="DP61" s="243"/>
      <c r="DQ61" s="243"/>
      <c r="DR61" s="243"/>
      <c r="DS61" s="243"/>
      <c r="DT61" s="243"/>
      <c r="DU61" s="243"/>
      <c r="DV61" s="243"/>
      <c r="DW61" s="243"/>
      <c r="DX61" s="243"/>
      <c r="DY61" s="243"/>
      <c r="DZ61" s="243"/>
      <c r="EA61" s="243"/>
      <c r="EB61" s="243"/>
      <c r="EC61" s="243"/>
      <c r="ED61" s="243"/>
      <c r="EE61" s="243"/>
      <c r="EF61" s="243"/>
      <c r="EG61" s="243"/>
      <c r="EH61" s="243"/>
      <c r="EI61" s="243"/>
      <c r="EJ61" s="243"/>
      <c r="EK61" s="243"/>
      <c r="EL61" s="243"/>
      <c r="EM61" s="243"/>
      <c r="EN61" s="243"/>
      <c r="EO61" s="243"/>
      <c r="EP61" s="243"/>
      <c r="EQ61" s="243"/>
      <c r="ER61" s="243"/>
      <c r="ES61" s="243"/>
      <c r="ET61" s="243"/>
      <c r="EU61" s="243"/>
      <c r="EV61" s="243"/>
      <c r="EW61" s="243"/>
      <c r="EX61" s="243"/>
      <c r="EY61" s="243"/>
      <c r="EZ61" s="243"/>
      <c r="FA61" s="243"/>
      <c r="FB61" s="243"/>
      <c r="FC61" s="243"/>
      <c r="FD61" s="243"/>
      <c r="FE61" s="243"/>
      <c r="FF61" s="243"/>
      <c r="FG61" s="243"/>
      <c r="FH61" s="243"/>
      <c r="FI61" s="243"/>
      <c r="FJ61" s="243"/>
      <c r="FK61" s="243"/>
      <c r="FL61" s="243"/>
      <c r="FM61" s="243"/>
      <c r="FN61" s="243"/>
      <c r="FO61" s="243"/>
      <c r="FP61" s="243"/>
      <c r="FQ61" s="243"/>
      <c r="FR61" s="243"/>
      <c r="FS61" s="243"/>
      <c r="FT61" s="243"/>
      <c r="FU61" s="243"/>
      <c r="FV61" s="243"/>
      <c r="FW61" s="243"/>
      <c r="FX61" s="243"/>
      <c r="FY61" s="243"/>
      <c r="FZ61" s="243"/>
      <c r="GA61" s="243"/>
      <c r="GB61" s="243"/>
      <c r="GC61" s="243"/>
      <c r="GD61" s="243"/>
      <c r="GE61" s="243"/>
      <c r="GF61" s="243"/>
      <c r="GG61" s="243"/>
      <c r="GH61" s="243"/>
      <c r="GI61" s="243"/>
      <c r="GJ61" s="243"/>
      <c r="GK61" s="243"/>
      <c r="GL61" s="243"/>
      <c r="GM61" s="243"/>
      <c r="GN61" s="243"/>
      <c r="GO61" s="243"/>
      <c r="GP61" s="243"/>
      <c r="GQ61" s="243"/>
      <c r="GR61" s="243"/>
      <c r="GS61" s="243"/>
      <c r="GT61" s="243"/>
      <c r="GU61" s="243"/>
      <c r="GV61" s="243"/>
      <c r="GW61" s="243"/>
      <c r="GX61" s="243"/>
      <c r="GY61" s="243"/>
      <c r="GZ61" s="243"/>
      <c r="HA61" s="243"/>
      <c r="HB61" s="243"/>
      <c r="HC61" s="243"/>
      <c r="HD61" s="243"/>
      <c r="HE61" s="243"/>
      <c r="HF61" s="243"/>
      <c r="HG61" s="243"/>
      <c r="HH61" s="243"/>
      <c r="HI61" s="243"/>
      <c r="HJ61" s="243"/>
      <c r="HK61" s="243"/>
      <c r="HL61" s="243"/>
      <c r="HM61" s="243"/>
      <c r="HN61" s="243"/>
      <c r="HO61" s="243"/>
      <c r="HP61" s="243"/>
      <c r="HQ61" s="243"/>
      <c r="HR61" s="243"/>
      <c r="HS61" s="243"/>
      <c r="HT61" s="243"/>
      <c r="HU61" s="243"/>
      <c r="HV61" s="243"/>
      <c r="HW61" s="243"/>
      <c r="HX61" s="243"/>
      <c r="HY61" s="243"/>
      <c r="HZ61" s="243"/>
      <c r="IA61" s="243"/>
    </row>
    <row r="62" spans="1:235" s="244" customFormat="1" ht="27.6" customHeight="1" x14ac:dyDescent="0.25">
      <c r="A62" s="241">
        <v>2</v>
      </c>
      <c r="B62" s="242" t="s">
        <v>108</v>
      </c>
      <c r="C62" s="363" t="s">
        <v>317</v>
      </c>
      <c r="D62" s="364" t="s">
        <v>110</v>
      </c>
      <c r="E62" s="365">
        <v>38.5</v>
      </c>
      <c r="F62" s="63"/>
      <c r="G62" s="64"/>
      <c r="H62" s="65"/>
      <c r="I62" s="64"/>
      <c r="J62" s="64"/>
      <c r="K62" s="66"/>
      <c r="L62" s="67"/>
      <c r="M62" s="64"/>
      <c r="N62" s="64"/>
      <c r="O62" s="64"/>
      <c r="P62" s="68"/>
      <c r="Q62" s="69"/>
      <c r="R62" s="137"/>
      <c r="S62" s="69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243"/>
      <c r="AP62" s="243"/>
      <c r="AQ62" s="243"/>
      <c r="AR62" s="243"/>
      <c r="AS62" s="243"/>
      <c r="AT62" s="243"/>
      <c r="AU62" s="243"/>
      <c r="AV62" s="243"/>
      <c r="AW62" s="243"/>
      <c r="AX62" s="243"/>
      <c r="AY62" s="243"/>
      <c r="AZ62" s="243"/>
      <c r="BA62" s="243"/>
      <c r="BB62" s="243"/>
      <c r="BC62" s="243"/>
      <c r="BD62" s="243"/>
      <c r="BE62" s="243"/>
      <c r="BF62" s="243"/>
      <c r="BG62" s="243"/>
      <c r="BH62" s="243"/>
      <c r="BI62" s="243"/>
      <c r="BJ62" s="243"/>
      <c r="BK62" s="243"/>
      <c r="BL62" s="243"/>
      <c r="BM62" s="243"/>
      <c r="BN62" s="243"/>
      <c r="BO62" s="243"/>
      <c r="BP62" s="243"/>
      <c r="BQ62" s="243"/>
      <c r="BR62" s="243"/>
      <c r="BS62" s="243"/>
      <c r="BT62" s="243"/>
      <c r="BU62" s="243"/>
      <c r="BV62" s="243"/>
      <c r="BW62" s="243"/>
      <c r="BX62" s="243"/>
      <c r="BY62" s="243"/>
      <c r="BZ62" s="243"/>
      <c r="CA62" s="243"/>
      <c r="CB62" s="243"/>
      <c r="CC62" s="243"/>
      <c r="CD62" s="243"/>
      <c r="CE62" s="243"/>
      <c r="CF62" s="243"/>
      <c r="CG62" s="243"/>
      <c r="CH62" s="243"/>
      <c r="CI62" s="243"/>
      <c r="CJ62" s="243"/>
      <c r="CK62" s="243"/>
      <c r="CL62" s="243"/>
      <c r="CM62" s="243"/>
      <c r="CN62" s="243"/>
      <c r="CO62" s="243"/>
      <c r="CP62" s="243"/>
      <c r="CQ62" s="243"/>
      <c r="CR62" s="243"/>
      <c r="CS62" s="243"/>
      <c r="CT62" s="243"/>
      <c r="CU62" s="243"/>
      <c r="CV62" s="243"/>
      <c r="CW62" s="243"/>
      <c r="CX62" s="243"/>
      <c r="CY62" s="243"/>
      <c r="CZ62" s="243"/>
      <c r="DA62" s="243"/>
      <c r="DB62" s="243"/>
      <c r="DC62" s="243"/>
      <c r="DD62" s="243"/>
      <c r="DE62" s="243"/>
      <c r="DF62" s="243"/>
      <c r="DG62" s="243"/>
      <c r="DH62" s="243"/>
      <c r="DI62" s="243"/>
      <c r="DJ62" s="243"/>
      <c r="DK62" s="243"/>
      <c r="DL62" s="243"/>
      <c r="DM62" s="243"/>
      <c r="DN62" s="243"/>
      <c r="DO62" s="243"/>
      <c r="DP62" s="243"/>
      <c r="DQ62" s="243"/>
      <c r="DR62" s="243"/>
      <c r="DS62" s="243"/>
      <c r="DT62" s="243"/>
      <c r="DU62" s="243"/>
      <c r="DV62" s="243"/>
      <c r="DW62" s="243"/>
      <c r="DX62" s="243"/>
      <c r="DY62" s="243"/>
      <c r="DZ62" s="243"/>
      <c r="EA62" s="243"/>
      <c r="EB62" s="243"/>
      <c r="EC62" s="243"/>
      <c r="ED62" s="243"/>
      <c r="EE62" s="243"/>
      <c r="EF62" s="243"/>
      <c r="EG62" s="243"/>
      <c r="EH62" s="243"/>
      <c r="EI62" s="243"/>
      <c r="EJ62" s="243"/>
      <c r="EK62" s="243"/>
      <c r="EL62" s="243"/>
      <c r="EM62" s="243"/>
      <c r="EN62" s="243"/>
      <c r="EO62" s="243"/>
      <c r="EP62" s="243"/>
      <c r="EQ62" s="243"/>
      <c r="ER62" s="243"/>
      <c r="ES62" s="243"/>
      <c r="ET62" s="243"/>
      <c r="EU62" s="243"/>
      <c r="EV62" s="243"/>
      <c r="EW62" s="243"/>
      <c r="EX62" s="243"/>
      <c r="EY62" s="243"/>
      <c r="EZ62" s="243"/>
      <c r="FA62" s="243"/>
      <c r="FB62" s="243"/>
      <c r="FC62" s="243"/>
      <c r="FD62" s="243"/>
      <c r="FE62" s="243"/>
      <c r="FF62" s="243"/>
      <c r="FG62" s="243"/>
      <c r="FH62" s="243"/>
      <c r="FI62" s="243"/>
      <c r="FJ62" s="243"/>
      <c r="FK62" s="243"/>
      <c r="FL62" s="243"/>
      <c r="FM62" s="243"/>
      <c r="FN62" s="243"/>
      <c r="FO62" s="243"/>
      <c r="FP62" s="243"/>
      <c r="FQ62" s="243"/>
      <c r="FR62" s="243"/>
      <c r="FS62" s="243"/>
      <c r="FT62" s="243"/>
      <c r="FU62" s="243"/>
      <c r="FV62" s="243"/>
      <c r="FW62" s="243"/>
      <c r="FX62" s="243"/>
      <c r="FY62" s="243"/>
      <c r="FZ62" s="243"/>
      <c r="GA62" s="243"/>
      <c r="GB62" s="243"/>
      <c r="GC62" s="243"/>
      <c r="GD62" s="243"/>
      <c r="GE62" s="243"/>
      <c r="GF62" s="243"/>
      <c r="GG62" s="243"/>
      <c r="GH62" s="243"/>
      <c r="GI62" s="243"/>
      <c r="GJ62" s="243"/>
      <c r="GK62" s="243"/>
      <c r="GL62" s="243"/>
      <c r="GM62" s="243"/>
      <c r="GN62" s="243"/>
      <c r="GO62" s="243"/>
      <c r="GP62" s="243"/>
      <c r="GQ62" s="243"/>
      <c r="GR62" s="243"/>
      <c r="GS62" s="243"/>
      <c r="GT62" s="243"/>
      <c r="GU62" s="243"/>
      <c r="GV62" s="243"/>
      <c r="GW62" s="243"/>
      <c r="GX62" s="243"/>
      <c r="GY62" s="243"/>
      <c r="GZ62" s="243"/>
      <c r="HA62" s="243"/>
      <c r="HB62" s="243"/>
      <c r="HC62" s="243"/>
      <c r="HD62" s="243"/>
      <c r="HE62" s="243"/>
      <c r="HF62" s="243"/>
      <c r="HG62" s="243"/>
      <c r="HH62" s="243"/>
      <c r="HI62" s="243"/>
      <c r="HJ62" s="243"/>
      <c r="HK62" s="243"/>
      <c r="HL62" s="243"/>
      <c r="HM62" s="243"/>
      <c r="HN62" s="243"/>
      <c r="HO62" s="243"/>
      <c r="HP62" s="243"/>
      <c r="HQ62" s="243"/>
      <c r="HR62" s="243"/>
      <c r="HS62" s="243"/>
      <c r="HT62" s="243"/>
      <c r="HU62" s="243"/>
      <c r="HV62" s="243"/>
      <c r="HW62" s="243"/>
      <c r="HX62" s="243"/>
      <c r="HY62" s="243"/>
      <c r="HZ62" s="243"/>
      <c r="IA62" s="243"/>
    </row>
    <row r="63" spans="1:235" s="244" customFormat="1" ht="27.6" customHeight="1" x14ac:dyDescent="0.25">
      <c r="A63" s="246"/>
      <c r="B63" s="247"/>
      <c r="C63" s="335" t="s">
        <v>615</v>
      </c>
      <c r="D63" s="361"/>
      <c r="E63" s="362"/>
      <c r="F63" s="248"/>
      <c r="G63" s="103"/>
      <c r="H63" s="249"/>
      <c r="I63" s="103"/>
      <c r="J63" s="103"/>
      <c r="K63" s="142"/>
      <c r="L63" s="143"/>
      <c r="M63" s="103"/>
      <c r="N63" s="103"/>
      <c r="O63" s="103"/>
      <c r="P63" s="144"/>
      <c r="Q63" s="69"/>
      <c r="R63" s="137"/>
      <c r="S63" s="69"/>
      <c r="T63" s="243"/>
      <c r="U63" s="243"/>
      <c r="V63" s="243"/>
      <c r="W63" s="243"/>
      <c r="X63" s="243"/>
      <c r="Y63" s="243"/>
      <c r="Z63" s="243"/>
      <c r="AA63" s="243"/>
      <c r="AB63" s="243"/>
      <c r="AC63" s="243"/>
      <c r="AD63" s="243"/>
      <c r="AE63" s="243"/>
      <c r="AF63" s="243"/>
      <c r="AG63" s="243"/>
      <c r="AH63" s="243"/>
      <c r="AI63" s="243"/>
      <c r="AJ63" s="243"/>
      <c r="AK63" s="243"/>
      <c r="AL63" s="243"/>
      <c r="AM63" s="243"/>
      <c r="AN63" s="243"/>
      <c r="AO63" s="243"/>
      <c r="AP63" s="243"/>
      <c r="AQ63" s="243"/>
      <c r="AR63" s="243"/>
      <c r="AS63" s="243"/>
      <c r="AT63" s="243"/>
      <c r="AU63" s="243"/>
      <c r="AV63" s="243"/>
      <c r="AW63" s="243"/>
      <c r="AX63" s="243"/>
      <c r="AY63" s="243"/>
      <c r="AZ63" s="243"/>
      <c r="BA63" s="243"/>
      <c r="BB63" s="243"/>
      <c r="BC63" s="243"/>
      <c r="BD63" s="243"/>
      <c r="BE63" s="243"/>
      <c r="BF63" s="243"/>
      <c r="BG63" s="243"/>
      <c r="BH63" s="243"/>
      <c r="BI63" s="243"/>
      <c r="BJ63" s="243"/>
      <c r="BK63" s="243"/>
      <c r="BL63" s="243"/>
      <c r="BM63" s="243"/>
      <c r="BN63" s="243"/>
      <c r="BO63" s="243"/>
      <c r="BP63" s="243"/>
      <c r="BQ63" s="243"/>
      <c r="BR63" s="243"/>
      <c r="BS63" s="243"/>
      <c r="BT63" s="243"/>
      <c r="BU63" s="243"/>
      <c r="BV63" s="243"/>
      <c r="BW63" s="243"/>
      <c r="BX63" s="243"/>
      <c r="BY63" s="243"/>
      <c r="BZ63" s="243"/>
      <c r="CA63" s="243"/>
      <c r="CB63" s="243"/>
      <c r="CC63" s="243"/>
      <c r="CD63" s="243"/>
      <c r="CE63" s="243"/>
      <c r="CF63" s="243"/>
      <c r="CG63" s="243"/>
      <c r="CH63" s="243"/>
      <c r="CI63" s="243"/>
      <c r="CJ63" s="243"/>
      <c r="CK63" s="243"/>
      <c r="CL63" s="243"/>
      <c r="CM63" s="243"/>
      <c r="CN63" s="243"/>
      <c r="CO63" s="243"/>
      <c r="CP63" s="243"/>
      <c r="CQ63" s="243"/>
      <c r="CR63" s="243"/>
      <c r="CS63" s="243"/>
      <c r="CT63" s="243"/>
      <c r="CU63" s="243"/>
      <c r="CV63" s="243"/>
      <c r="CW63" s="243"/>
      <c r="CX63" s="243"/>
      <c r="CY63" s="243"/>
      <c r="CZ63" s="243"/>
      <c r="DA63" s="243"/>
      <c r="DB63" s="243"/>
      <c r="DC63" s="243"/>
      <c r="DD63" s="243"/>
      <c r="DE63" s="243"/>
      <c r="DF63" s="243"/>
      <c r="DG63" s="243"/>
      <c r="DH63" s="243"/>
      <c r="DI63" s="243"/>
      <c r="DJ63" s="243"/>
      <c r="DK63" s="243"/>
      <c r="DL63" s="243"/>
      <c r="DM63" s="243"/>
      <c r="DN63" s="243"/>
      <c r="DO63" s="243"/>
      <c r="DP63" s="243"/>
      <c r="DQ63" s="243"/>
      <c r="DR63" s="243"/>
      <c r="DS63" s="243"/>
      <c r="DT63" s="243"/>
      <c r="DU63" s="243"/>
      <c r="DV63" s="243"/>
      <c r="DW63" s="243"/>
      <c r="DX63" s="243"/>
      <c r="DY63" s="243"/>
      <c r="DZ63" s="243"/>
      <c r="EA63" s="243"/>
      <c r="EB63" s="243"/>
      <c r="EC63" s="243"/>
      <c r="ED63" s="243"/>
      <c r="EE63" s="243"/>
      <c r="EF63" s="243"/>
      <c r="EG63" s="243"/>
      <c r="EH63" s="243"/>
      <c r="EI63" s="243"/>
      <c r="EJ63" s="243"/>
      <c r="EK63" s="243"/>
      <c r="EL63" s="243"/>
      <c r="EM63" s="243"/>
      <c r="EN63" s="243"/>
      <c r="EO63" s="243"/>
      <c r="EP63" s="243"/>
      <c r="EQ63" s="243"/>
      <c r="ER63" s="243"/>
      <c r="ES63" s="243"/>
      <c r="ET63" s="243"/>
      <c r="EU63" s="243"/>
      <c r="EV63" s="243"/>
      <c r="EW63" s="243"/>
      <c r="EX63" s="243"/>
      <c r="EY63" s="243"/>
      <c r="EZ63" s="243"/>
      <c r="FA63" s="243"/>
      <c r="FB63" s="243"/>
      <c r="FC63" s="243"/>
      <c r="FD63" s="243"/>
      <c r="FE63" s="243"/>
      <c r="FF63" s="243"/>
      <c r="FG63" s="243"/>
      <c r="FH63" s="243"/>
      <c r="FI63" s="243"/>
      <c r="FJ63" s="243"/>
      <c r="FK63" s="243"/>
      <c r="FL63" s="243"/>
      <c r="FM63" s="243"/>
      <c r="FN63" s="243"/>
      <c r="FO63" s="243"/>
      <c r="FP63" s="243"/>
      <c r="FQ63" s="243"/>
      <c r="FR63" s="243"/>
      <c r="FS63" s="243"/>
      <c r="FT63" s="243"/>
      <c r="FU63" s="243"/>
      <c r="FV63" s="243"/>
      <c r="FW63" s="243"/>
      <c r="FX63" s="243"/>
      <c r="FY63" s="243"/>
      <c r="FZ63" s="243"/>
      <c r="GA63" s="243"/>
      <c r="GB63" s="243"/>
      <c r="GC63" s="243"/>
      <c r="GD63" s="243"/>
      <c r="GE63" s="243"/>
      <c r="GF63" s="243"/>
      <c r="GG63" s="243"/>
      <c r="GH63" s="243"/>
      <c r="GI63" s="243"/>
      <c r="GJ63" s="243"/>
      <c r="GK63" s="243"/>
      <c r="GL63" s="243"/>
      <c r="GM63" s="243"/>
      <c r="GN63" s="243"/>
      <c r="GO63" s="243"/>
      <c r="GP63" s="243"/>
      <c r="GQ63" s="243"/>
      <c r="GR63" s="243"/>
      <c r="GS63" s="243"/>
      <c r="GT63" s="243"/>
      <c r="GU63" s="243"/>
      <c r="GV63" s="243"/>
      <c r="GW63" s="243"/>
      <c r="GX63" s="243"/>
      <c r="GY63" s="243"/>
      <c r="GZ63" s="243"/>
      <c r="HA63" s="243"/>
      <c r="HB63" s="243"/>
      <c r="HC63" s="243"/>
      <c r="HD63" s="243"/>
      <c r="HE63" s="243"/>
      <c r="HF63" s="243"/>
      <c r="HG63" s="243"/>
      <c r="HH63" s="243"/>
      <c r="HI63" s="243"/>
      <c r="HJ63" s="243"/>
      <c r="HK63" s="243"/>
      <c r="HL63" s="243"/>
      <c r="HM63" s="243"/>
      <c r="HN63" s="243"/>
      <c r="HO63" s="243"/>
      <c r="HP63" s="243"/>
      <c r="HQ63" s="243"/>
      <c r="HR63" s="243"/>
      <c r="HS63" s="243"/>
      <c r="HT63" s="243"/>
      <c r="HU63" s="243"/>
      <c r="HV63" s="243"/>
      <c r="HW63" s="243"/>
      <c r="HX63" s="243"/>
      <c r="HY63" s="243"/>
      <c r="HZ63" s="243"/>
      <c r="IA63" s="243"/>
    </row>
    <row r="64" spans="1:235" s="244" customFormat="1" ht="24.6" customHeight="1" x14ac:dyDescent="0.25">
      <c r="A64" s="241">
        <v>1</v>
      </c>
      <c r="B64" s="242" t="s">
        <v>108</v>
      </c>
      <c r="C64" s="363" t="s">
        <v>318</v>
      </c>
      <c r="D64" s="364" t="s">
        <v>124</v>
      </c>
      <c r="E64" s="365">
        <v>101.54</v>
      </c>
      <c r="F64" s="63"/>
      <c r="G64" s="64"/>
      <c r="H64" s="65"/>
      <c r="I64" s="64"/>
      <c r="J64" s="64"/>
      <c r="K64" s="66"/>
      <c r="L64" s="67"/>
      <c r="M64" s="64"/>
      <c r="N64" s="64"/>
      <c r="O64" s="64"/>
      <c r="P64" s="68"/>
      <c r="Q64" s="69"/>
      <c r="R64" s="137"/>
      <c r="S64" s="69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243"/>
      <c r="AE64" s="243"/>
      <c r="AF64" s="243"/>
      <c r="AG64" s="243"/>
      <c r="AH64" s="243"/>
      <c r="AI64" s="243"/>
      <c r="AJ64" s="243"/>
      <c r="AK64" s="243"/>
      <c r="AL64" s="243"/>
      <c r="AM64" s="243"/>
      <c r="AN64" s="243"/>
      <c r="AO64" s="243"/>
      <c r="AP64" s="243"/>
      <c r="AQ64" s="243"/>
      <c r="AR64" s="243"/>
      <c r="AS64" s="243"/>
      <c r="AT64" s="243"/>
      <c r="AU64" s="243"/>
      <c r="AV64" s="243"/>
      <c r="AW64" s="243"/>
      <c r="AX64" s="243"/>
      <c r="AY64" s="243"/>
      <c r="AZ64" s="243"/>
      <c r="BA64" s="243"/>
      <c r="BB64" s="243"/>
      <c r="BC64" s="243"/>
      <c r="BD64" s="243"/>
      <c r="BE64" s="243"/>
      <c r="BF64" s="243"/>
      <c r="BG64" s="243"/>
      <c r="BH64" s="243"/>
      <c r="BI64" s="243"/>
      <c r="BJ64" s="243"/>
      <c r="BK64" s="243"/>
      <c r="BL64" s="243"/>
      <c r="BM64" s="243"/>
      <c r="BN64" s="243"/>
      <c r="BO64" s="243"/>
      <c r="BP64" s="243"/>
      <c r="BQ64" s="243"/>
      <c r="BR64" s="243"/>
      <c r="BS64" s="243"/>
      <c r="BT64" s="243"/>
      <c r="BU64" s="243"/>
      <c r="BV64" s="243"/>
      <c r="BW64" s="243"/>
      <c r="BX64" s="243"/>
      <c r="BY64" s="243"/>
      <c r="BZ64" s="243"/>
      <c r="CA64" s="243"/>
      <c r="CB64" s="243"/>
      <c r="CC64" s="243"/>
      <c r="CD64" s="243"/>
      <c r="CE64" s="243"/>
      <c r="CF64" s="243"/>
      <c r="CG64" s="243"/>
      <c r="CH64" s="243"/>
      <c r="CI64" s="243"/>
      <c r="CJ64" s="243"/>
      <c r="CK64" s="243"/>
      <c r="CL64" s="243"/>
      <c r="CM64" s="243"/>
      <c r="CN64" s="243"/>
      <c r="CO64" s="243"/>
      <c r="CP64" s="243"/>
      <c r="CQ64" s="243"/>
      <c r="CR64" s="243"/>
      <c r="CS64" s="243"/>
      <c r="CT64" s="243"/>
      <c r="CU64" s="243"/>
      <c r="CV64" s="243"/>
      <c r="CW64" s="243"/>
      <c r="CX64" s="243"/>
      <c r="CY64" s="243"/>
      <c r="CZ64" s="243"/>
      <c r="DA64" s="243"/>
      <c r="DB64" s="243"/>
      <c r="DC64" s="243"/>
      <c r="DD64" s="243"/>
      <c r="DE64" s="243"/>
      <c r="DF64" s="243"/>
      <c r="DG64" s="243"/>
      <c r="DH64" s="243"/>
      <c r="DI64" s="243"/>
      <c r="DJ64" s="243"/>
      <c r="DK64" s="243"/>
      <c r="DL64" s="243"/>
      <c r="DM64" s="243"/>
      <c r="DN64" s="243"/>
      <c r="DO64" s="243"/>
      <c r="DP64" s="243"/>
      <c r="DQ64" s="243"/>
      <c r="DR64" s="243"/>
      <c r="DS64" s="243"/>
      <c r="DT64" s="243"/>
      <c r="DU64" s="243"/>
      <c r="DV64" s="243"/>
      <c r="DW64" s="243"/>
      <c r="DX64" s="243"/>
      <c r="DY64" s="243"/>
      <c r="DZ64" s="243"/>
      <c r="EA64" s="243"/>
      <c r="EB64" s="243"/>
      <c r="EC64" s="243"/>
      <c r="ED64" s="243"/>
      <c r="EE64" s="243"/>
      <c r="EF64" s="243"/>
      <c r="EG64" s="243"/>
      <c r="EH64" s="243"/>
      <c r="EI64" s="243"/>
      <c r="EJ64" s="243"/>
      <c r="EK64" s="243"/>
      <c r="EL64" s="243"/>
      <c r="EM64" s="243"/>
      <c r="EN64" s="243"/>
      <c r="EO64" s="243"/>
      <c r="EP64" s="243"/>
      <c r="EQ64" s="243"/>
      <c r="ER64" s="243"/>
      <c r="ES64" s="243"/>
      <c r="ET64" s="243"/>
      <c r="EU64" s="243"/>
      <c r="EV64" s="243"/>
      <c r="EW64" s="243"/>
      <c r="EX64" s="243"/>
      <c r="EY64" s="243"/>
      <c r="EZ64" s="243"/>
      <c r="FA64" s="243"/>
      <c r="FB64" s="243"/>
      <c r="FC64" s="243"/>
      <c r="FD64" s="243"/>
      <c r="FE64" s="243"/>
      <c r="FF64" s="243"/>
      <c r="FG64" s="243"/>
      <c r="FH64" s="243"/>
      <c r="FI64" s="243"/>
      <c r="FJ64" s="243"/>
      <c r="FK64" s="243"/>
      <c r="FL64" s="243"/>
      <c r="FM64" s="243"/>
      <c r="FN64" s="243"/>
      <c r="FO64" s="243"/>
      <c r="FP64" s="243"/>
      <c r="FQ64" s="243"/>
      <c r="FR64" s="243"/>
      <c r="FS64" s="243"/>
      <c r="FT64" s="243"/>
      <c r="FU64" s="243"/>
      <c r="FV64" s="243"/>
      <c r="FW64" s="243"/>
      <c r="FX64" s="243"/>
      <c r="FY64" s="243"/>
      <c r="FZ64" s="243"/>
      <c r="GA64" s="243"/>
      <c r="GB64" s="243"/>
      <c r="GC64" s="243"/>
      <c r="GD64" s="243"/>
      <c r="GE64" s="243"/>
      <c r="GF64" s="243"/>
      <c r="GG64" s="243"/>
      <c r="GH64" s="243"/>
      <c r="GI64" s="243"/>
      <c r="GJ64" s="243"/>
      <c r="GK64" s="243"/>
      <c r="GL64" s="243"/>
      <c r="GM64" s="243"/>
      <c r="GN64" s="243"/>
      <c r="GO64" s="243"/>
      <c r="GP64" s="243"/>
      <c r="GQ64" s="243"/>
      <c r="GR64" s="243"/>
      <c r="GS64" s="243"/>
      <c r="GT64" s="243"/>
      <c r="GU64" s="243"/>
      <c r="GV64" s="243"/>
      <c r="GW64" s="243"/>
      <c r="GX64" s="243"/>
      <c r="GY64" s="243"/>
      <c r="GZ64" s="243"/>
      <c r="HA64" s="243"/>
      <c r="HB64" s="243"/>
      <c r="HC64" s="243"/>
      <c r="HD64" s="243"/>
      <c r="HE64" s="243"/>
      <c r="HF64" s="243"/>
      <c r="HG64" s="243"/>
      <c r="HH64" s="243"/>
      <c r="HI64" s="243"/>
      <c r="HJ64" s="243"/>
      <c r="HK64" s="243"/>
      <c r="HL64" s="243"/>
      <c r="HM64" s="243"/>
      <c r="HN64" s="243"/>
      <c r="HO64" s="243"/>
      <c r="HP64" s="243"/>
      <c r="HQ64" s="243"/>
      <c r="HR64" s="243"/>
      <c r="HS64" s="243"/>
      <c r="HT64" s="243"/>
      <c r="HU64" s="243"/>
      <c r="HV64" s="243"/>
      <c r="HW64" s="243"/>
      <c r="HX64" s="243"/>
      <c r="HY64" s="243"/>
      <c r="HZ64" s="243"/>
      <c r="IA64" s="243"/>
    </row>
    <row r="65" spans="1:235" s="244" customFormat="1" ht="14.25" customHeight="1" x14ac:dyDescent="0.25">
      <c r="A65" s="241">
        <v>2</v>
      </c>
      <c r="B65" s="242"/>
      <c r="C65" s="366" t="s">
        <v>176</v>
      </c>
      <c r="D65" s="364" t="s">
        <v>177</v>
      </c>
      <c r="E65" s="365">
        <f>E64*0.17*1.1</f>
        <v>18.987980000000004</v>
      </c>
      <c r="F65" s="63"/>
      <c r="G65" s="64"/>
      <c r="H65" s="65"/>
      <c r="I65" s="64"/>
      <c r="J65" s="64"/>
      <c r="K65" s="66"/>
      <c r="L65" s="67"/>
      <c r="M65" s="64"/>
      <c r="N65" s="64"/>
      <c r="O65" s="64"/>
      <c r="P65" s="68"/>
      <c r="Q65" s="69"/>
      <c r="R65" s="137"/>
      <c r="S65" s="69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3"/>
      <c r="AF65" s="243"/>
      <c r="AG65" s="243"/>
      <c r="AH65" s="243"/>
      <c r="AI65" s="243"/>
      <c r="AJ65" s="243"/>
      <c r="AK65" s="243"/>
      <c r="AL65" s="243"/>
      <c r="AM65" s="243"/>
      <c r="AN65" s="243"/>
      <c r="AO65" s="243"/>
      <c r="AP65" s="243"/>
      <c r="AQ65" s="243"/>
      <c r="AR65" s="243"/>
      <c r="AS65" s="243"/>
      <c r="AT65" s="243"/>
      <c r="AU65" s="243"/>
      <c r="AV65" s="243"/>
      <c r="AW65" s="243"/>
      <c r="AX65" s="243"/>
      <c r="AY65" s="243"/>
      <c r="AZ65" s="243"/>
      <c r="BA65" s="243"/>
      <c r="BB65" s="243"/>
      <c r="BC65" s="243"/>
      <c r="BD65" s="243"/>
      <c r="BE65" s="243"/>
      <c r="BF65" s="243"/>
      <c r="BG65" s="243"/>
      <c r="BH65" s="243"/>
      <c r="BI65" s="243"/>
      <c r="BJ65" s="243"/>
      <c r="BK65" s="243"/>
      <c r="BL65" s="243"/>
      <c r="BM65" s="243"/>
      <c r="BN65" s="243"/>
      <c r="BO65" s="243"/>
      <c r="BP65" s="243"/>
      <c r="BQ65" s="243"/>
      <c r="BR65" s="243"/>
      <c r="BS65" s="243"/>
      <c r="BT65" s="243"/>
      <c r="BU65" s="243"/>
      <c r="BV65" s="243"/>
      <c r="BW65" s="243"/>
      <c r="BX65" s="243"/>
      <c r="BY65" s="243"/>
      <c r="BZ65" s="243"/>
      <c r="CA65" s="243"/>
      <c r="CB65" s="243"/>
      <c r="CC65" s="243"/>
      <c r="CD65" s="243"/>
      <c r="CE65" s="243"/>
      <c r="CF65" s="243"/>
      <c r="CG65" s="243"/>
      <c r="CH65" s="243"/>
      <c r="CI65" s="243"/>
      <c r="CJ65" s="243"/>
      <c r="CK65" s="243"/>
      <c r="CL65" s="243"/>
      <c r="CM65" s="243"/>
      <c r="CN65" s="243"/>
      <c r="CO65" s="243"/>
      <c r="CP65" s="243"/>
      <c r="CQ65" s="243"/>
      <c r="CR65" s="243"/>
      <c r="CS65" s="243"/>
      <c r="CT65" s="243"/>
      <c r="CU65" s="243"/>
      <c r="CV65" s="243"/>
      <c r="CW65" s="243"/>
      <c r="CX65" s="243"/>
      <c r="CY65" s="243"/>
      <c r="CZ65" s="243"/>
      <c r="DA65" s="243"/>
      <c r="DB65" s="243"/>
      <c r="DC65" s="243"/>
      <c r="DD65" s="243"/>
      <c r="DE65" s="243"/>
      <c r="DF65" s="243"/>
      <c r="DG65" s="243"/>
      <c r="DH65" s="243"/>
      <c r="DI65" s="243"/>
      <c r="DJ65" s="243"/>
      <c r="DK65" s="243"/>
      <c r="DL65" s="243"/>
      <c r="DM65" s="243"/>
      <c r="DN65" s="243"/>
      <c r="DO65" s="243"/>
      <c r="DP65" s="243"/>
      <c r="DQ65" s="243"/>
      <c r="DR65" s="243"/>
      <c r="DS65" s="243"/>
      <c r="DT65" s="243"/>
      <c r="DU65" s="243"/>
      <c r="DV65" s="243"/>
      <c r="DW65" s="243"/>
      <c r="DX65" s="243"/>
      <c r="DY65" s="243"/>
      <c r="DZ65" s="243"/>
      <c r="EA65" s="243"/>
      <c r="EB65" s="243"/>
      <c r="EC65" s="243"/>
      <c r="ED65" s="243"/>
      <c r="EE65" s="243"/>
      <c r="EF65" s="243"/>
      <c r="EG65" s="243"/>
      <c r="EH65" s="243"/>
      <c r="EI65" s="243"/>
      <c r="EJ65" s="243"/>
      <c r="EK65" s="243"/>
      <c r="EL65" s="243"/>
      <c r="EM65" s="243"/>
      <c r="EN65" s="243"/>
      <c r="EO65" s="243"/>
      <c r="EP65" s="243"/>
      <c r="EQ65" s="243"/>
      <c r="ER65" s="243"/>
      <c r="ES65" s="243"/>
      <c r="ET65" s="243"/>
      <c r="EU65" s="243"/>
      <c r="EV65" s="243"/>
      <c r="EW65" s="243"/>
      <c r="EX65" s="243"/>
      <c r="EY65" s="243"/>
      <c r="EZ65" s="243"/>
      <c r="FA65" s="243"/>
      <c r="FB65" s="243"/>
      <c r="FC65" s="243"/>
      <c r="FD65" s="243"/>
      <c r="FE65" s="243"/>
      <c r="FF65" s="243"/>
      <c r="FG65" s="243"/>
      <c r="FH65" s="243"/>
      <c r="FI65" s="243"/>
      <c r="FJ65" s="243"/>
      <c r="FK65" s="243"/>
      <c r="FL65" s="243"/>
      <c r="FM65" s="243"/>
      <c r="FN65" s="243"/>
      <c r="FO65" s="243"/>
      <c r="FP65" s="243"/>
      <c r="FQ65" s="243"/>
      <c r="FR65" s="243"/>
      <c r="FS65" s="243"/>
      <c r="FT65" s="243"/>
      <c r="FU65" s="243"/>
      <c r="FV65" s="243"/>
      <c r="FW65" s="243"/>
      <c r="FX65" s="243"/>
      <c r="FY65" s="243"/>
      <c r="FZ65" s="243"/>
      <c r="GA65" s="243"/>
      <c r="GB65" s="243"/>
      <c r="GC65" s="243"/>
      <c r="GD65" s="243"/>
      <c r="GE65" s="243"/>
      <c r="GF65" s="243"/>
      <c r="GG65" s="243"/>
      <c r="GH65" s="243"/>
      <c r="GI65" s="243"/>
      <c r="GJ65" s="243"/>
      <c r="GK65" s="243"/>
      <c r="GL65" s="243"/>
      <c r="GM65" s="243"/>
      <c r="GN65" s="243"/>
      <c r="GO65" s="243"/>
      <c r="GP65" s="243"/>
      <c r="GQ65" s="243"/>
      <c r="GR65" s="243"/>
      <c r="GS65" s="243"/>
      <c r="GT65" s="243"/>
      <c r="GU65" s="243"/>
      <c r="GV65" s="243"/>
      <c r="GW65" s="243"/>
      <c r="GX65" s="243"/>
      <c r="GY65" s="243"/>
      <c r="GZ65" s="243"/>
      <c r="HA65" s="243"/>
      <c r="HB65" s="243"/>
      <c r="HC65" s="243"/>
      <c r="HD65" s="243"/>
      <c r="HE65" s="243"/>
      <c r="HF65" s="243"/>
      <c r="HG65" s="243"/>
      <c r="HH65" s="243"/>
      <c r="HI65" s="243"/>
      <c r="HJ65" s="243"/>
      <c r="HK65" s="243"/>
      <c r="HL65" s="243"/>
      <c r="HM65" s="243"/>
      <c r="HN65" s="243"/>
      <c r="HO65" s="243"/>
      <c r="HP65" s="243"/>
      <c r="HQ65" s="243"/>
      <c r="HR65" s="243"/>
      <c r="HS65" s="243"/>
      <c r="HT65" s="243"/>
      <c r="HU65" s="243"/>
      <c r="HV65" s="243"/>
      <c r="HW65" s="243"/>
      <c r="HX65" s="243"/>
      <c r="HY65" s="243"/>
      <c r="HZ65" s="243"/>
      <c r="IA65" s="243"/>
    </row>
    <row r="66" spans="1:235" s="244" customFormat="1" ht="14.25" customHeight="1" x14ac:dyDescent="0.25">
      <c r="A66" s="241">
        <v>3</v>
      </c>
      <c r="B66" s="242"/>
      <c r="C66" s="366" t="s">
        <v>319</v>
      </c>
      <c r="D66" s="364" t="s">
        <v>180</v>
      </c>
      <c r="E66" s="365">
        <f>E64*1.5*1.2</f>
        <v>182.77199999999999</v>
      </c>
      <c r="F66" s="63"/>
      <c r="G66" s="64"/>
      <c r="H66" s="65"/>
      <c r="I66" s="64"/>
      <c r="J66" s="64"/>
      <c r="K66" s="66"/>
      <c r="L66" s="67"/>
      <c r="M66" s="64"/>
      <c r="N66" s="64"/>
      <c r="O66" s="64"/>
      <c r="P66" s="68"/>
      <c r="Q66" s="69"/>
      <c r="R66" s="137"/>
      <c r="S66" s="69"/>
      <c r="T66" s="243"/>
      <c r="U66" s="243"/>
      <c r="V66" s="243"/>
      <c r="W66" s="243"/>
      <c r="X66" s="243"/>
      <c r="Y66" s="243"/>
      <c r="Z66" s="243"/>
      <c r="AA66" s="243"/>
      <c r="AB66" s="243"/>
      <c r="AC66" s="243"/>
      <c r="AD66" s="243"/>
      <c r="AE66" s="243"/>
      <c r="AF66" s="243"/>
      <c r="AG66" s="243"/>
      <c r="AH66" s="243"/>
      <c r="AI66" s="243"/>
      <c r="AJ66" s="243"/>
      <c r="AK66" s="243"/>
      <c r="AL66" s="243"/>
      <c r="AM66" s="243"/>
      <c r="AN66" s="243"/>
      <c r="AO66" s="243"/>
      <c r="AP66" s="243"/>
      <c r="AQ66" s="243"/>
      <c r="AR66" s="243"/>
      <c r="AS66" s="243"/>
      <c r="AT66" s="243"/>
      <c r="AU66" s="243"/>
      <c r="AV66" s="243"/>
      <c r="AW66" s="243"/>
      <c r="AX66" s="243"/>
      <c r="AY66" s="243"/>
      <c r="AZ66" s="243"/>
      <c r="BA66" s="243"/>
      <c r="BB66" s="243"/>
      <c r="BC66" s="243"/>
      <c r="BD66" s="243"/>
      <c r="BE66" s="243"/>
      <c r="BF66" s="243"/>
      <c r="BG66" s="243"/>
      <c r="BH66" s="243"/>
      <c r="BI66" s="243"/>
      <c r="BJ66" s="243"/>
      <c r="BK66" s="243"/>
      <c r="BL66" s="243"/>
      <c r="BM66" s="243"/>
      <c r="BN66" s="243"/>
      <c r="BO66" s="243"/>
      <c r="BP66" s="243"/>
      <c r="BQ66" s="243"/>
      <c r="BR66" s="243"/>
      <c r="BS66" s="243"/>
      <c r="BT66" s="243"/>
      <c r="BU66" s="243"/>
      <c r="BV66" s="243"/>
      <c r="BW66" s="243"/>
      <c r="BX66" s="243"/>
      <c r="BY66" s="243"/>
      <c r="BZ66" s="243"/>
      <c r="CA66" s="243"/>
      <c r="CB66" s="243"/>
      <c r="CC66" s="243"/>
      <c r="CD66" s="243"/>
      <c r="CE66" s="243"/>
      <c r="CF66" s="243"/>
      <c r="CG66" s="243"/>
      <c r="CH66" s="243"/>
      <c r="CI66" s="243"/>
      <c r="CJ66" s="243"/>
      <c r="CK66" s="243"/>
      <c r="CL66" s="243"/>
      <c r="CM66" s="243"/>
      <c r="CN66" s="243"/>
      <c r="CO66" s="243"/>
      <c r="CP66" s="243"/>
      <c r="CQ66" s="243"/>
      <c r="CR66" s="243"/>
      <c r="CS66" s="243"/>
      <c r="CT66" s="243"/>
      <c r="CU66" s="243"/>
      <c r="CV66" s="243"/>
      <c r="CW66" s="243"/>
      <c r="CX66" s="243"/>
      <c r="CY66" s="243"/>
      <c r="CZ66" s="243"/>
      <c r="DA66" s="243"/>
      <c r="DB66" s="243"/>
      <c r="DC66" s="243"/>
      <c r="DD66" s="243"/>
      <c r="DE66" s="243"/>
      <c r="DF66" s="243"/>
      <c r="DG66" s="243"/>
      <c r="DH66" s="243"/>
      <c r="DI66" s="243"/>
      <c r="DJ66" s="243"/>
      <c r="DK66" s="243"/>
      <c r="DL66" s="243"/>
      <c r="DM66" s="243"/>
      <c r="DN66" s="243"/>
      <c r="DO66" s="243"/>
      <c r="DP66" s="243"/>
      <c r="DQ66" s="243"/>
      <c r="DR66" s="243"/>
      <c r="DS66" s="243"/>
      <c r="DT66" s="243"/>
      <c r="DU66" s="243"/>
      <c r="DV66" s="243"/>
      <c r="DW66" s="243"/>
      <c r="DX66" s="243"/>
      <c r="DY66" s="243"/>
      <c r="DZ66" s="243"/>
      <c r="EA66" s="243"/>
      <c r="EB66" s="243"/>
      <c r="EC66" s="243"/>
      <c r="ED66" s="243"/>
      <c r="EE66" s="243"/>
      <c r="EF66" s="243"/>
      <c r="EG66" s="243"/>
      <c r="EH66" s="243"/>
      <c r="EI66" s="243"/>
      <c r="EJ66" s="243"/>
      <c r="EK66" s="243"/>
      <c r="EL66" s="243"/>
      <c r="EM66" s="243"/>
      <c r="EN66" s="243"/>
      <c r="EO66" s="243"/>
      <c r="EP66" s="243"/>
      <c r="EQ66" s="243"/>
      <c r="ER66" s="243"/>
      <c r="ES66" s="243"/>
      <c r="ET66" s="243"/>
      <c r="EU66" s="243"/>
      <c r="EV66" s="243"/>
      <c r="EW66" s="243"/>
      <c r="EX66" s="243"/>
      <c r="EY66" s="243"/>
      <c r="EZ66" s="243"/>
      <c r="FA66" s="243"/>
      <c r="FB66" s="243"/>
      <c r="FC66" s="243"/>
      <c r="FD66" s="243"/>
      <c r="FE66" s="243"/>
      <c r="FF66" s="243"/>
      <c r="FG66" s="243"/>
      <c r="FH66" s="243"/>
      <c r="FI66" s="243"/>
      <c r="FJ66" s="243"/>
      <c r="FK66" s="243"/>
      <c r="FL66" s="243"/>
      <c r="FM66" s="243"/>
      <c r="FN66" s="243"/>
      <c r="FO66" s="243"/>
      <c r="FP66" s="243"/>
      <c r="FQ66" s="243"/>
      <c r="FR66" s="243"/>
      <c r="FS66" s="243"/>
      <c r="FT66" s="243"/>
      <c r="FU66" s="243"/>
      <c r="FV66" s="243"/>
      <c r="FW66" s="243"/>
      <c r="FX66" s="243"/>
      <c r="FY66" s="243"/>
      <c r="FZ66" s="243"/>
      <c r="GA66" s="243"/>
      <c r="GB66" s="243"/>
      <c r="GC66" s="243"/>
      <c r="GD66" s="243"/>
      <c r="GE66" s="243"/>
      <c r="GF66" s="243"/>
      <c r="GG66" s="243"/>
      <c r="GH66" s="243"/>
      <c r="GI66" s="243"/>
      <c r="GJ66" s="243"/>
      <c r="GK66" s="243"/>
      <c r="GL66" s="243"/>
      <c r="GM66" s="243"/>
      <c r="GN66" s="243"/>
      <c r="GO66" s="243"/>
      <c r="GP66" s="243"/>
      <c r="GQ66" s="243"/>
      <c r="GR66" s="243"/>
      <c r="GS66" s="243"/>
      <c r="GT66" s="243"/>
      <c r="GU66" s="243"/>
      <c r="GV66" s="243"/>
      <c r="GW66" s="243"/>
      <c r="GX66" s="243"/>
      <c r="GY66" s="243"/>
      <c r="GZ66" s="243"/>
      <c r="HA66" s="243"/>
      <c r="HB66" s="243"/>
      <c r="HC66" s="243"/>
      <c r="HD66" s="243"/>
      <c r="HE66" s="243"/>
      <c r="HF66" s="243"/>
      <c r="HG66" s="243"/>
      <c r="HH66" s="243"/>
      <c r="HI66" s="243"/>
      <c r="HJ66" s="243"/>
      <c r="HK66" s="243"/>
      <c r="HL66" s="243"/>
      <c r="HM66" s="243"/>
      <c r="HN66" s="243"/>
      <c r="HO66" s="243"/>
      <c r="HP66" s="243"/>
      <c r="HQ66" s="243"/>
      <c r="HR66" s="243"/>
      <c r="HS66" s="243"/>
      <c r="HT66" s="243"/>
      <c r="HU66" s="243"/>
      <c r="HV66" s="243"/>
      <c r="HW66" s="243"/>
      <c r="HX66" s="243"/>
      <c r="HY66" s="243"/>
      <c r="HZ66" s="243"/>
      <c r="IA66" s="243"/>
    </row>
    <row r="67" spans="1:235" s="244" customFormat="1" ht="14.25" customHeight="1" x14ac:dyDescent="0.25">
      <c r="A67" s="241">
        <v>4</v>
      </c>
      <c r="B67" s="242"/>
      <c r="C67" s="366" t="s">
        <v>320</v>
      </c>
      <c r="D67" s="364" t="s">
        <v>110</v>
      </c>
      <c r="E67" s="365">
        <f>E64*0.1</f>
        <v>10.154000000000002</v>
      </c>
      <c r="F67" s="63"/>
      <c r="G67" s="64"/>
      <c r="H67" s="65"/>
      <c r="I67" s="64"/>
      <c r="J67" s="64"/>
      <c r="K67" s="66"/>
      <c r="L67" s="67"/>
      <c r="M67" s="64"/>
      <c r="N67" s="64"/>
      <c r="O67" s="64"/>
      <c r="P67" s="68"/>
      <c r="Q67" s="69"/>
      <c r="R67" s="137"/>
      <c r="S67" s="69"/>
      <c r="T67" s="243"/>
      <c r="U67" s="243"/>
      <c r="V67" s="243"/>
      <c r="W67" s="243"/>
      <c r="X67" s="243"/>
      <c r="Y67" s="243"/>
      <c r="Z67" s="243"/>
      <c r="AA67" s="243"/>
      <c r="AB67" s="243"/>
      <c r="AC67" s="243"/>
      <c r="AD67" s="243"/>
      <c r="AE67" s="243"/>
      <c r="AF67" s="243"/>
      <c r="AG67" s="243"/>
      <c r="AH67" s="243"/>
      <c r="AI67" s="243"/>
      <c r="AJ67" s="243"/>
      <c r="AK67" s="243"/>
      <c r="AL67" s="243"/>
      <c r="AM67" s="243"/>
      <c r="AN67" s="243"/>
      <c r="AO67" s="243"/>
      <c r="AP67" s="243"/>
      <c r="AQ67" s="243"/>
      <c r="AR67" s="243"/>
      <c r="AS67" s="243"/>
      <c r="AT67" s="243"/>
      <c r="AU67" s="243"/>
      <c r="AV67" s="243"/>
      <c r="AW67" s="243"/>
      <c r="AX67" s="243"/>
      <c r="AY67" s="243"/>
      <c r="AZ67" s="243"/>
      <c r="BA67" s="243"/>
      <c r="BB67" s="243"/>
      <c r="BC67" s="243"/>
      <c r="BD67" s="243"/>
      <c r="BE67" s="243"/>
      <c r="BF67" s="243"/>
      <c r="BG67" s="243"/>
      <c r="BH67" s="243"/>
      <c r="BI67" s="243"/>
      <c r="BJ67" s="243"/>
      <c r="BK67" s="243"/>
      <c r="BL67" s="243"/>
      <c r="BM67" s="243"/>
      <c r="BN67" s="243"/>
      <c r="BO67" s="243"/>
      <c r="BP67" s="243"/>
      <c r="BQ67" s="243"/>
      <c r="BR67" s="243"/>
      <c r="BS67" s="243"/>
      <c r="BT67" s="243"/>
      <c r="BU67" s="243"/>
      <c r="BV67" s="243"/>
      <c r="BW67" s="243"/>
      <c r="BX67" s="243"/>
      <c r="BY67" s="243"/>
      <c r="BZ67" s="243"/>
      <c r="CA67" s="243"/>
      <c r="CB67" s="243"/>
      <c r="CC67" s="243"/>
      <c r="CD67" s="243"/>
      <c r="CE67" s="243"/>
      <c r="CF67" s="243"/>
      <c r="CG67" s="243"/>
      <c r="CH67" s="243"/>
      <c r="CI67" s="243"/>
      <c r="CJ67" s="243"/>
      <c r="CK67" s="243"/>
      <c r="CL67" s="243"/>
      <c r="CM67" s="243"/>
      <c r="CN67" s="243"/>
      <c r="CO67" s="243"/>
      <c r="CP67" s="243"/>
      <c r="CQ67" s="243"/>
      <c r="CR67" s="243"/>
      <c r="CS67" s="243"/>
      <c r="CT67" s="243"/>
      <c r="CU67" s="243"/>
      <c r="CV67" s="243"/>
      <c r="CW67" s="243"/>
      <c r="CX67" s="243"/>
      <c r="CY67" s="243"/>
      <c r="CZ67" s="243"/>
      <c r="DA67" s="243"/>
      <c r="DB67" s="243"/>
      <c r="DC67" s="243"/>
      <c r="DD67" s="243"/>
      <c r="DE67" s="243"/>
      <c r="DF67" s="243"/>
      <c r="DG67" s="243"/>
      <c r="DH67" s="243"/>
      <c r="DI67" s="243"/>
      <c r="DJ67" s="243"/>
      <c r="DK67" s="243"/>
      <c r="DL67" s="243"/>
      <c r="DM67" s="243"/>
      <c r="DN67" s="243"/>
      <c r="DO67" s="243"/>
      <c r="DP67" s="243"/>
      <c r="DQ67" s="243"/>
      <c r="DR67" s="243"/>
      <c r="DS67" s="243"/>
      <c r="DT67" s="243"/>
      <c r="DU67" s="243"/>
      <c r="DV67" s="243"/>
      <c r="DW67" s="243"/>
      <c r="DX67" s="243"/>
      <c r="DY67" s="243"/>
      <c r="DZ67" s="243"/>
      <c r="EA67" s="243"/>
      <c r="EB67" s="243"/>
      <c r="EC67" s="243"/>
      <c r="ED67" s="243"/>
      <c r="EE67" s="243"/>
      <c r="EF67" s="243"/>
      <c r="EG67" s="243"/>
      <c r="EH67" s="243"/>
      <c r="EI67" s="243"/>
      <c r="EJ67" s="243"/>
      <c r="EK67" s="243"/>
      <c r="EL67" s="243"/>
      <c r="EM67" s="243"/>
      <c r="EN67" s="243"/>
      <c r="EO67" s="243"/>
      <c r="EP67" s="243"/>
      <c r="EQ67" s="243"/>
      <c r="ER67" s="243"/>
      <c r="ES67" s="243"/>
      <c r="ET67" s="243"/>
      <c r="EU67" s="243"/>
      <c r="EV67" s="243"/>
      <c r="EW67" s="243"/>
      <c r="EX67" s="243"/>
      <c r="EY67" s="243"/>
      <c r="EZ67" s="243"/>
      <c r="FA67" s="243"/>
      <c r="FB67" s="243"/>
      <c r="FC67" s="243"/>
      <c r="FD67" s="243"/>
      <c r="FE67" s="243"/>
      <c r="FF67" s="243"/>
      <c r="FG67" s="243"/>
      <c r="FH67" s="243"/>
      <c r="FI67" s="243"/>
      <c r="FJ67" s="243"/>
      <c r="FK67" s="243"/>
      <c r="FL67" s="243"/>
      <c r="FM67" s="243"/>
      <c r="FN67" s="243"/>
      <c r="FO67" s="243"/>
      <c r="FP67" s="243"/>
      <c r="FQ67" s="243"/>
      <c r="FR67" s="243"/>
      <c r="FS67" s="243"/>
      <c r="FT67" s="243"/>
      <c r="FU67" s="243"/>
      <c r="FV67" s="243"/>
      <c r="FW67" s="243"/>
      <c r="FX67" s="243"/>
      <c r="FY67" s="243"/>
      <c r="FZ67" s="243"/>
      <c r="GA67" s="243"/>
      <c r="GB67" s="243"/>
      <c r="GC67" s="243"/>
      <c r="GD67" s="243"/>
      <c r="GE67" s="243"/>
      <c r="GF67" s="243"/>
      <c r="GG67" s="243"/>
      <c r="GH67" s="243"/>
      <c r="GI67" s="243"/>
      <c r="GJ67" s="243"/>
      <c r="GK67" s="243"/>
      <c r="GL67" s="243"/>
      <c r="GM67" s="243"/>
      <c r="GN67" s="243"/>
      <c r="GO67" s="243"/>
      <c r="GP67" s="243"/>
      <c r="GQ67" s="243"/>
      <c r="GR67" s="243"/>
      <c r="GS67" s="243"/>
      <c r="GT67" s="243"/>
      <c r="GU67" s="243"/>
      <c r="GV67" s="243"/>
      <c r="GW67" s="243"/>
      <c r="GX67" s="243"/>
      <c r="GY67" s="243"/>
      <c r="GZ67" s="243"/>
      <c r="HA67" s="243"/>
      <c r="HB67" s="243"/>
      <c r="HC67" s="243"/>
      <c r="HD67" s="243"/>
      <c r="HE67" s="243"/>
      <c r="HF67" s="243"/>
      <c r="HG67" s="243"/>
      <c r="HH67" s="243"/>
      <c r="HI67" s="243"/>
      <c r="HJ67" s="243"/>
      <c r="HK67" s="243"/>
      <c r="HL67" s="243"/>
      <c r="HM67" s="243"/>
      <c r="HN67" s="243"/>
      <c r="HO67" s="243"/>
      <c r="HP67" s="243"/>
      <c r="HQ67" s="243"/>
      <c r="HR67" s="243"/>
      <c r="HS67" s="243"/>
      <c r="HT67" s="243"/>
      <c r="HU67" s="243"/>
      <c r="HV67" s="243"/>
      <c r="HW67" s="243"/>
      <c r="HX67" s="243"/>
      <c r="HY67" s="243"/>
      <c r="HZ67" s="243"/>
      <c r="IA67" s="243"/>
    </row>
    <row r="68" spans="1:235" s="244" customFormat="1" ht="14.25" customHeight="1" x14ac:dyDescent="0.25">
      <c r="A68" s="241">
        <v>5</v>
      </c>
      <c r="B68" s="242"/>
      <c r="C68" s="366" t="s">
        <v>246</v>
      </c>
      <c r="D68" s="364" t="s">
        <v>124</v>
      </c>
      <c r="E68" s="365">
        <f>E64</f>
        <v>101.54</v>
      </c>
      <c r="F68" s="63"/>
      <c r="G68" s="64"/>
      <c r="H68" s="65"/>
      <c r="I68" s="64"/>
      <c r="J68" s="64"/>
      <c r="K68" s="66"/>
      <c r="L68" s="67"/>
      <c r="M68" s="64"/>
      <c r="N68" s="64"/>
      <c r="O68" s="64"/>
      <c r="P68" s="68"/>
      <c r="Q68" s="69"/>
      <c r="R68" s="137"/>
      <c r="S68" s="69"/>
      <c r="T68" s="243"/>
      <c r="U68" s="243"/>
      <c r="V68" s="243"/>
      <c r="W68" s="243"/>
      <c r="X68" s="243"/>
      <c r="Y68" s="243"/>
      <c r="Z68" s="243"/>
      <c r="AA68" s="243"/>
      <c r="AB68" s="243"/>
      <c r="AC68" s="243"/>
      <c r="AD68" s="243"/>
      <c r="AE68" s="243"/>
      <c r="AF68" s="243"/>
      <c r="AG68" s="243"/>
      <c r="AH68" s="243"/>
      <c r="AI68" s="243"/>
      <c r="AJ68" s="243"/>
      <c r="AK68" s="243"/>
      <c r="AL68" s="243"/>
      <c r="AM68" s="243"/>
      <c r="AN68" s="243"/>
      <c r="AO68" s="243"/>
      <c r="AP68" s="243"/>
      <c r="AQ68" s="243"/>
      <c r="AR68" s="243"/>
      <c r="AS68" s="243"/>
      <c r="AT68" s="243"/>
      <c r="AU68" s="243"/>
      <c r="AV68" s="243"/>
      <c r="AW68" s="243"/>
      <c r="AX68" s="243"/>
      <c r="AY68" s="243"/>
      <c r="AZ68" s="243"/>
      <c r="BA68" s="243"/>
      <c r="BB68" s="243"/>
      <c r="BC68" s="243"/>
      <c r="BD68" s="243"/>
      <c r="BE68" s="243"/>
      <c r="BF68" s="243"/>
      <c r="BG68" s="243"/>
      <c r="BH68" s="243"/>
      <c r="BI68" s="243"/>
      <c r="BJ68" s="243"/>
      <c r="BK68" s="243"/>
      <c r="BL68" s="243"/>
      <c r="BM68" s="243"/>
      <c r="BN68" s="243"/>
      <c r="BO68" s="243"/>
      <c r="BP68" s="243"/>
      <c r="BQ68" s="243"/>
      <c r="BR68" s="243"/>
      <c r="BS68" s="243"/>
      <c r="BT68" s="243"/>
      <c r="BU68" s="243"/>
      <c r="BV68" s="243"/>
      <c r="BW68" s="243"/>
      <c r="BX68" s="243"/>
      <c r="BY68" s="243"/>
      <c r="BZ68" s="243"/>
      <c r="CA68" s="243"/>
      <c r="CB68" s="243"/>
      <c r="CC68" s="243"/>
      <c r="CD68" s="243"/>
      <c r="CE68" s="243"/>
      <c r="CF68" s="243"/>
      <c r="CG68" s="243"/>
      <c r="CH68" s="243"/>
      <c r="CI68" s="243"/>
      <c r="CJ68" s="243"/>
      <c r="CK68" s="243"/>
      <c r="CL68" s="243"/>
      <c r="CM68" s="243"/>
      <c r="CN68" s="243"/>
      <c r="CO68" s="243"/>
      <c r="CP68" s="243"/>
      <c r="CQ68" s="243"/>
      <c r="CR68" s="243"/>
      <c r="CS68" s="243"/>
      <c r="CT68" s="243"/>
      <c r="CU68" s="243"/>
      <c r="CV68" s="243"/>
      <c r="CW68" s="243"/>
      <c r="CX68" s="243"/>
      <c r="CY68" s="243"/>
      <c r="CZ68" s="243"/>
      <c r="DA68" s="243"/>
      <c r="DB68" s="243"/>
      <c r="DC68" s="243"/>
      <c r="DD68" s="243"/>
      <c r="DE68" s="243"/>
      <c r="DF68" s="243"/>
      <c r="DG68" s="243"/>
      <c r="DH68" s="243"/>
      <c r="DI68" s="243"/>
      <c r="DJ68" s="243"/>
      <c r="DK68" s="243"/>
      <c r="DL68" s="243"/>
      <c r="DM68" s="243"/>
      <c r="DN68" s="243"/>
      <c r="DO68" s="243"/>
      <c r="DP68" s="243"/>
      <c r="DQ68" s="243"/>
      <c r="DR68" s="243"/>
      <c r="DS68" s="243"/>
      <c r="DT68" s="243"/>
      <c r="DU68" s="243"/>
      <c r="DV68" s="243"/>
      <c r="DW68" s="243"/>
      <c r="DX68" s="243"/>
      <c r="DY68" s="243"/>
      <c r="DZ68" s="243"/>
      <c r="EA68" s="243"/>
      <c r="EB68" s="243"/>
      <c r="EC68" s="243"/>
      <c r="ED68" s="243"/>
      <c r="EE68" s="243"/>
      <c r="EF68" s="243"/>
      <c r="EG68" s="243"/>
      <c r="EH68" s="243"/>
      <c r="EI68" s="243"/>
      <c r="EJ68" s="243"/>
      <c r="EK68" s="243"/>
      <c r="EL68" s="243"/>
      <c r="EM68" s="243"/>
      <c r="EN68" s="243"/>
      <c r="EO68" s="243"/>
      <c r="EP68" s="243"/>
      <c r="EQ68" s="243"/>
      <c r="ER68" s="243"/>
      <c r="ES68" s="243"/>
      <c r="ET68" s="243"/>
      <c r="EU68" s="243"/>
      <c r="EV68" s="243"/>
      <c r="EW68" s="243"/>
      <c r="EX68" s="243"/>
      <c r="EY68" s="243"/>
      <c r="EZ68" s="243"/>
      <c r="FA68" s="243"/>
      <c r="FB68" s="243"/>
      <c r="FC68" s="243"/>
      <c r="FD68" s="243"/>
      <c r="FE68" s="243"/>
      <c r="FF68" s="243"/>
      <c r="FG68" s="243"/>
      <c r="FH68" s="243"/>
      <c r="FI68" s="243"/>
      <c r="FJ68" s="243"/>
      <c r="FK68" s="243"/>
      <c r="FL68" s="243"/>
      <c r="FM68" s="243"/>
      <c r="FN68" s="243"/>
      <c r="FO68" s="243"/>
      <c r="FP68" s="243"/>
      <c r="FQ68" s="243"/>
      <c r="FR68" s="243"/>
      <c r="FS68" s="243"/>
      <c r="FT68" s="243"/>
      <c r="FU68" s="243"/>
      <c r="FV68" s="243"/>
      <c r="FW68" s="243"/>
      <c r="FX68" s="243"/>
      <c r="FY68" s="243"/>
      <c r="FZ68" s="243"/>
      <c r="GA68" s="243"/>
      <c r="GB68" s="243"/>
      <c r="GC68" s="243"/>
      <c r="GD68" s="243"/>
      <c r="GE68" s="243"/>
      <c r="GF68" s="243"/>
      <c r="GG68" s="243"/>
      <c r="GH68" s="243"/>
      <c r="GI68" s="243"/>
      <c r="GJ68" s="243"/>
      <c r="GK68" s="243"/>
      <c r="GL68" s="243"/>
      <c r="GM68" s="243"/>
      <c r="GN68" s="243"/>
      <c r="GO68" s="243"/>
      <c r="GP68" s="243"/>
      <c r="GQ68" s="243"/>
      <c r="GR68" s="243"/>
      <c r="GS68" s="243"/>
      <c r="GT68" s="243"/>
      <c r="GU68" s="243"/>
      <c r="GV68" s="243"/>
      <c r="GW68" s="243"/>
      <c r="GX68" s="243"/>
      <c r="GY68" s="243"/>
      <c r="GZ68" s="243"/>
      <c r="HA68" s="243"/>
      <c r="HB68" s="243"/>
      <c r="HC68" s="243"/>
      <c r="HD68" s="243"/>
      <c r="HE68" s="243"/>
      <c r="HF68" s="243"/>
      <c r="HG68" s="243"/>
      <c r="HH68" s="243"/>
      <c r="HI68" s="243"/>
      <c r="HJ68" s="243"/>
      <c r="HK68" s="243"/>
      <c r="HL68" s="243"/>
      <c r="HM68" s="243"/>
      <c r="HN68" s="243"/>
      <c r="HO68" s="243"/>
      <c r="HP68" s="243"/>
      <c r="HQ68" s="243"/>
      <c r="HR68" s="243"/>
      <c r="HS68" s="243"/>
      <c r="HT68" s="243"/>
      <c r="HU68" s="243"/>
      <c r="HV68" s="243"/>
      <c r="HW68" s="243"/>
      <c r="HX68" s="243"/>
      <c r="HY68" s="243"/>
      <c r="HZ68" s="243"/>
      <c r="IA68" s="243"/>
    </row>
    <row r="69" spans="1:235" s="244" customFormat="1" ht="14.25" customHeight="1" x14ac:dyDescent="0.25">
      <c r="A69" s="241">
        <v>6</v>
      </c>
      <c r="B69" s="242" t="s">
        <v>108</v>
      </c>
      <c r="C69" s="363" t="s">
        <v>321</v>
      </c>
      <c r="D69" s="364" t="s">
        <v>124</v>
      </c>
      <c r="E69" s="365">
        <f>E64</f>
        <v>101.54</v>
      </c>
      <c r="F69" s="63"/>
      <c r="G69" s="64"/>
      <c r="H69" s="65"/>
      <c r="I69" s="64"/>
      <c r="J69" s="64"/>
      <c r="K69" s="66"/>
      <c r="L69" s="67"/>
      <c r="M69" s="64"/>
      <c r="N69" s="64"/>
      <c r="O69" s="64"/>
      <c r="P69" s="68"/>
      <c r="Q69" s="69"/>
      <c r="R69" s="137"/>
      <c r="S69" s="69"/>
      <c r="T69" s="243"/>
      <c r="U69" s="243"/>
      <c r="V69" s="243"/>
      <c r="W69" s="243"/>
      <c r="X69" s="243"/>
      <c r="Y69" s="243"/>
      <c r="Z69" s="243"/>
      <c r="AA69" s="243"/>
      <c r="AB69" s="243"/>
      <c r="AC69" s="243"/>
      <c r="AD69" s="243"/>
      <c r="AE69" s="243"/>
      <c r="AF69" s="243"/>
      <c r="AG69" s="243"/>
      <c r="AH69" s="243"/>
      <c r="AI69" s="243"/>
      <c r="AJ69" s="243"/>
      <c r="AK69" s="243"/>
      <c r="AL69" s="243"/>
      <c r="AM69" s="243"/>
      <c r="AN69" s="243"/>
      <c r="AO69" s="243"/>
      <c r="AP69" s="243"/>
      <c r="AQ69" s="243"/>
      <c r="AR69" s="243"/>
      <c r="AS69" s="243"/>
      <c r="AT69" s="243"/>
      <c r="AU69" s="243"/>
      <c r="AV69" s="243"/>
      <c r="AW69" s="243"/>
      <c r="AX69" s="243"/>
      <c r="AY69" s="243"/>
      <c r="AZ69" s="243"/>
      <c r="BA69" s="243"/>
      <c r="BB69" s="243"/>
      <c r="BC69" s="243"/>
      <c r="BD69" s="243"/>
      <c r="BE69" s="243"/>
      <c r="BF69" s="243"/>
      <c r="BG69" s="243"/>
      <c r="BH69" s="243"/>
      <c r="BI69" s="243"/>
      <c r="BJ69" s="243"/>
      <c r="BK69" s="243"/>
      <c r="BL69" s="243"/>
      <c r="BM69" s="243"/>
      <c r="BN69" s="243"/>
      <c r="BO69" s="243"/>
      <c r="BP69" s="243"/>
      <c r="BQ69" s="243"/>
      <c r="BR69" s="243"/>
      <c r="BS69" s="243"/>
      <c r="BT69" s="243"/>
      <c r="BU69" s="243"/>
      <c r="BV69" s="243"/>
      <c r="BW69" s="243"/>
      <c r="BX69" s="243"/>
      <c r="BY69" s="243"/>
      <c r="BZ69" s="243"/>
      <c r="CA69" s="243"/>
      <c r="CB69" s="243"/>
      <c r="CC69" s="243"/>
      <c r="CD69" s="243"/>
      <c r="CE69" s="243"/>
      <c r="CF69" s="243"/>
      <c r="CG69" s="243"/>
      <c r="CH69" s="243"/>
      <c r="CI69" s="243"/>
      <c r="CJ69" s="243"/>
      <c r="CK69" s="243"/>
      <c r="CL69" s="243"/>
      <c r="CM69" s="243"/>
      <c r="CN69" s="243"/>
      <c r="CO69" s="243"/>
      <c r="CP69" s="243"/>
      <c r="CQ69" s="243"/>
      <c r="CR69" s="243"/>
      <c r="CS69" s="243"/>
      <c r="CT69" s="243"/>
      <c r="CU69" s="243"/>
      <c r="CV69" s="243"/>
      <c r="CW69" s="243"/>
      <c r="CX69" s="243"/>
      <c r="CY69" s="243"/>
      <c r="CZ69" s="243"/>
      <c r="DA69" s="243"/>
      <c r="DB69" s="243"/>
      <c r="DC69" s="243"/>
      <c r="DD69" s="243"/>
      <c r="DE69" s="243"/>
      <c r="DF69" s="243"/>
      <c r="DG69" s="243"/>
      <c r="DH69" s="243"/>
      <c r="DI69" s="243"/>
      <c r="DJ69" s="243"/>
      <c r="DK69" s="243"/>
      <c r="DL69" s="243"/>
      <c r="DM69" s="243"/>
      <c r="DN69" s="243"/>
      <c r="DO69" s="243"/>
      <c r="DP69" s="243"/>
      <c r="DQ69" s="243"/>
      <c r="DR69" s="243"/>
      <c r="DS69" s="243"/>
      <c r="DT69" s="243"/>
      <c r="DU69" s="243"/>
      <c r="DV69" s="243"/>
      <c r="DW69" s="243"/>
      <c r="DX69" s="243"/>
      <c r="DY69" s="243"/>
      <c r="DZ69" s="243"/>
      <c r="EA69" s="243"/>
      <c r="EB69" s="243"/>
      <c r="EC69" s="243"/>
      <c r="ED69" s="243"/>
      <c r="EE69" s="243"/>
      <c r="EF69" s="243"/>
      <c r="EG69" s="243"/>
      <c r="EH69" s="243"/>
      <c r="EI69" s="243"/>
      <c r="EJ69" s="243"/>
      <c r="EK69" s="243"/>
      <c r="EL69" s="243"/>
      <c r="EM69" s="243"/>
      <c r="EN69" s="243"/>
      <c r="EO69" s="243"/>
      <c r="EP69" s="243"/>
      <c r="EQ69" s="243"/>
      <c r="ER69" s="243"/>
      <c r="ES69" s="243"/>
      <c r="ET69" s="243"/>
      <c r="EU69" s="243"/>
      <c r="EV69" s="243"/>
      <c r="EW69" s="243"/>
      <c r="EX69" s="243"/>
      <c r="EY69" s="243"/>
      <c r="EZ69" s="243"/>
      <c r="FA69" s="243"/>
      <c r="FB69" s="243"/>
      <c r="FC69" s="243"/>
      <c r="FD69" s="243"/>
      <c r="FE69" s="243"/>
      <c r="FF69" s="243"/>
      <c r="FG69" s="243"/>
      <c r="FH69" s="243"/>
      <c r="FI69" s="243"/>
      <c r="FJ69" s="243"/>
      <c r="FK69" s="243"/>
      <c r="FL69" s="243"/>
      <c r="FM69" s="243"/>
      <c r="FN69" s="243"/>
      <c r="FO69" s="243"/>
      <c r="FP69" s="243"/>
      <c r="FQ69" s="243"/>
      <c r="FR69" s="243"/>
      <c r="FS69" s="243"/>
      <c r="FT69" s="243"/>
      <c r="FU69" s="243"/>
      <c r="FV69" s="243"/>
      <c r="FW69" s="243"/>
      <c r="FX69" s="243"/>
      <c r="FY69" s="243"/>
      <c r="FZ69" s="243"/>
      <c r="GA69" s="243"/>
      <c r="GB69" s="243"/>
      <c r="GC69" s="243"/>
      <c r="GD69" s="243"/>
      <c r="GE69" s="243"/>
      <c r="GF69" s="243"/>
      <c r="GG69" s="243"/>
      <c r="GH69" s="243"/>
      <c r="GI69" s="243"/>
      <c r="GJ69" s="243"/>
      <c r="GK69" s="243"/>
      <c r="GL69" s="243"/>
      <c r="GM69" s="243"/>
      <c r="GN69" s="243"/>
      <c r="GO69" s="243"/>
      <c r="GP69" s="243"/>
      <c r="GQ69" s="243"/>
      <c r="GR69" s="243"/>
      <c r="GS69" s="243"/>
      <c r="GT69" s="243"/>
      <c r="GU69" s="243"/>
      <c r="GV69" s="243"/>
      <c r="GW69" s="243"/>
      <c r="GX69" s="243"/>
      <c r="GY69" s="243"/>
      <c r="GZ69" s="243"/>
      <c r="HA69" s="243"/>
      <c r="HB69" s="243"/>
      <c r="HC69" s="243"/>
      <c r="HD69" s="243"/>
      <c r="HE69" s="243"/>
      <c r="HF69" s="243"/>
      <c r="HG69" s="243"/>
      <c r="HH69" s="243"/>
      <c r="HI69" s="243"/>
      <c r="HJ69" s="243"/>
      <c r="HK69" s="243"/>
      <c r="HL69" s="243"/>
      <c r="HM69" s="243"/>
      <c r="HN69" s="243"/>
      <c r="HO69" s="243"/>
      <c r="HP69" s="243"/>
      <c r="HQ69" s="243"/>
      <c r="HR69" s="243"/>
      <c r="HS69" s="243"/>
      <c r="HT69" s="243"/>
      <c r="HU69" s="243"/>
      <c r="HV69" s="243"/>
      <c r="HW69" s="243"/>
      <c r="HX69" s="243"/>
      <c r="HY69" s="243"/>
      <c r="HZ69" s="243"/>
      <c r="IA69" s="243"/>
    </row>
    <row r="70" spans="1:235" s="244" customFormat="1" ht="14.25" customHeight="1" x14ac:dyDescent="0.25">
      <c r="A70" s="241">
        <v>7</v>
      </c>
      <c r="B70" s="242"/>
      <c r="C70" s="366" t="s">
        <v>322</v>
      </c>
      <c r="D70" s="364" t="s">
        <v>177</v>
      </c>
      <c r="E70" s="365">
        <f>E69*0.35</f>
        <v>35.539000000000001</v>
      </c>
      <c r="F70" s="63"/>
      <c r="G70" s="64"/>
      <c r="H70" s="65"/>
      <c r="I70" s="64"/>
      <c r="J70" s="64"/>
      <c r="K70" s="66"/>
      <c r="L70" s="67"/>
      <c r="M70" s="64"/>
      <c r="N70" s="64"/>
      <c r="O70" s="64"/>
      <c r="P70" s="68"/>
      <c r="Q70" s="69"/>
      <c r="R70" s="137"/>
      <c r="S70" s="69"/>
      <c r="T70" s="243"/>
      <c r="U70" s="243"/>
      <c r="V70" s="243"/>
      <c r="W70" s="243"/>
      <c r="X70" s="243"/>
      <c r="Y70" s="243"/>
      <c r="Z70" s="243"/>
      <c r="AA70" s="243"/>
      <c r="AB70" s="243"/>
      <c r="AC70" s="243"/>
      <c r="AD70" s="243"/>
      <c r="AE70" s="243"/>
      <c r="AF70" s="243"/>
      <c r="AG70" s="243"/>
      <c r="AH70" s="243"/>
      <c r="AI70" s="243"/>
      <c r="AJ70" s="243"/>
      <c r="AK70" s="243"/>
      <c r="AL70" s="243"/>
      <c r="AM70" s="243"/>
      <c r="AN70" s="243"/>
      <c r="AO70" s="243"/>
      <c r="AP70" s="243"/>
      <c r="AQ70" s="243"/>
      <c r="AR70" s="243"/>
      <c r="AS70" s="243"/>
      <c r="AT70" s="243"/>
      <c r="AU70" s="243"/>
      <c r="AV70" s="243"/>
      <c r="AW70" s="243"/>
      <c r="AX70" s="243"/>
      <c r="AY70" s="243"/>
      <c r="AZ70" s="243"/>
      <c r="BA70" s="243"/>
      <c r="BB70" s="243"/>
      <c r="BC70" s="243"/>
      <c r="BD70" s="243"/>
      <c r="BE70" s="243"/>
      <c r="BF70" s="243"/>
      <c r="BG70" s="243"/>
      <c r="BH70" s="243"/>
      <c r="BI70" s="243"/>
      <c r="BJ70" s="243"/>
      <c r="BK70" s="243"/>
      <c r="BL70" s="243"/>
      <c r="BM70" s="243"/>
      <c r="BN70" s="243"/>
      <c r="BO70" s="243"/>
      <c r="BP70" s="243"/>
      <c r="BQ70" s="243"/>
      <c r="BR70" s="243"/>
      <c r="BS70" s="243"/>
      <c r="BT70" s="243"/>
      <c r="BU70" s="243"/>
      <c r="BV70" s="243"/>
      <c r="BW70" s="243"/>
      <c r="BX70" s="243"/>
      <c r="BY70" s="243"/>
      <c r="BZ70" s="243"/>
      <c r="CA70" s="243"/>
      <c r="CB70" s="243"/>
      <c r="CC70" s="243"/>
      <c r="CD70" s="243"/>
      <c r="CE70" s="243"/>
      <c r="CF70" s="243"/>
      <c r="CG70" s="243"/>
      <c r="CH70" s="243"/>
      <c r="CI70" s="243"/>
      <c r="CJ70" s="243"/>
      <c r="CK70" s="243"/>
      <c r="CL70" s="243"/>
      <c r="CM70" s="243"/>
      <c r="CN70" s="243"/>
      <c r="CO70" s="243"/>
      <c r="CP70" s="243"/>
      <c r="CQ70" s="243"/>
      <c r="CR70" s="243"/>
      <c r="CS70" s="243"/>
      <c r="CT70" s="243"/>
      <c r="CU70" s="243"/>
      <c r="CV70" s="243"/>
      <c r="CW70" s="243"/>
      <c r="CX70" s="243"/>
      <c r="CY70" s="243"/>
      <c r="CZ70" s="243"/>
      <c r="DA70" s="243"/>
      <c r="DB70" s="243"/>
      <c r="DC70" s="243"/>
      <c r="DD70" s="243"/>
      <c r="DE70" s="243"/>
      <c r="DF70" s="243"/>
      <c r="DG70" s="243"/>
      <c r="DH70" s="243"/>
      <c r="DI70" s="243"/>
      <c r="DJ70" s="243"/>
      <c r="DK70" s="243"/>
      <c r="DL70" s="243"/>
      <c r="DM70" s="243"/>
      <c r="DN70" s="243"/>
      <c r="DO70" s="243"/>
      <c r="DP70" s="243"/>
      <c r="DQ70" s="243"/>
      <c r="DR70" s="243"/>
      <c r="DS70" s="243"/>
      <c r="DT70" s="243"/>
      <c r="DU70" s="243"/>
      <c r="DV70" s="243"/>
      <c r="DW70" s="243"/>
      <c r="DX70" s="243"/>
      <c r="DY70" s="243"/>
      <c r="DZ70" s="243"/>
      <c r="EA70" s="243"/>
      <c r="EB70" s="243"/>
      <c r="EC70" s="243"/>
      <c r="ED70" s="243"/>
      <c r="EE70" s="243"/>
      <c r="EF70" s="243"/>
      <c r="EG70" s="243"/>
      <c r="EH70" s="243"/>
      <c r="EI70" s="243"/>
      <c r="EJ70" s="243"/>
      <c r="EK70" s="243"/>
      <c r="EL70" s="243"/>
      <c r="EM70" s="243"/>
      <c r="EN70" s="243"/>
      <c r="EO70" s="243"/>
      <c r="EP70" s="243"/>
      <c r="EQ70" s="243"/>
      <c r="ER70" s="243"/>
      <c r="ES70" s="243"/>
      <c r="ET70" s="243"/>
      <c r="EU70" s="243"/>
      <c r="EV70" s="243"/>
      <c r="EW70" s="243"/>
      <c r="EX70" s="243"/>
      <c r="EY70" s="243"/>
      <c r="EZ70" s="243"/>
      <c r="FA70" s="243"/>
      <c r="FB70" s="243"/>
      <c r="FC70" s="243"/>
      <c r="FD70" s="243"/>
      <c r="FE70" s="243"/>
      <c r="FF70" s="243"/>
      <c r="FG70" s="243"/>
      <c r="FH70" s="243"/>
      <c r="FI70" s="243"/>
      <c r="FJ70" s="243"/>
      <c r="FK70" s="243"/>
      <c r="FL70" s="243"/>
      <c r="FM70" s="243"/>
      <c r="FN70" s="243"/>
      <c r="FO70" s="243"/>
      <c r="FP70" s="243"/>
      <c r="FQ70" s="243"/>
      <c r="FR70" s="243"/>
      <c r="FS70" s="243"/>
      <c r="FT70" s="243"/>
      <c r="FU70" s="243"/>
      <c r="FV70" s="243"/>
      <c r="FW70" s="243"/>
      <c r="FX70" s="243"/>
      <c r="FY70" s="243"/>
      <c r="FZ70" s="243"/>
      <c r="GA70" s="243"/>
      <c r="GB70" s="243"/>
      <c r="GC70" s="243"/>
      <c r="GD70" s="243"/>
      <c r="GE70" s="243"/>
      <c r="GF70" s="243"/>
      <c r="GG70" s="243"/>
      <c r="GH70" s="243"/>
      <c r="GI70" s="243"/>
      <c r="GJ70" s="243"/>
      <c r="GK70" s="243"/>
      <c r="GL70" s="243"/>
      <c r="GM70" s="243"/>
      <c r="GN70" s="243"/>
      <c r="GO70" s="243"/>
      <c r="GP70" s="243"/>
      <c r="GQ70" s="243"/>
      <c r="GR70" s="243"/>
      <c r="GS70" s="243"/>
      <c r="GT70" s="243"/>
      <c r="GU70" s="243"/>
      <c r="GV70" s="243"/>
      <c r="GW70" s="243"/>
      <c r="GX70" s="243"/>
      <c r="GY70" s="243"/>
      <c r="GZ70" s="243"/>
      <c r="HA70" s="243"/>
      <c r="HB70" s="243"/>
      <c r="HC70" s="243"/>
      <c r="HD70" s="243"/>
      <c r="HE70" s="243"/>
      <c r="HF70" s="243"/>
      <c r="HG70" s="243"/>
      <c r="HH70" s="243"/>
      <c r="HI70" s="243"/>
      <c r="HJ70" s="243"/>
      <c r="HK70" s="243"/>
      <c r="HL70" s="243"/>
      <c r="HM70" s="243"/>
      <c r="HN70" s="243"/>
      <c r="HO70" s="243"/>
      <c r="HP70" s="243"/>
      <c r="HQ70" s="243"/>
      <c r="HR70" s="243"/>
      <c r="HS70" s="243"/>
      <c r="HT70" s="243"/>
      <c r="HU70" s="243"/>
      <c r="HV70" s="243"/>
      <c r="HW70" s="243"/>
      <c r="HX70" s="243"/>
      <c r="HY70" s="243"/>
      <c r="HZ70" s="243"/>
      <c r="IA70" s="243"/>
    </row>
    <row r="71" spans="1:235" s="244" customFormat="1" ht="14.25" customHeight="1" x14ac:dyDescent="0.25">
      <c r="A71" s="241">
        <v>8</v>
      </c>
      <c r="B71" s="242"/>
      <c r="C71" s="366" t="s">
        <v>246</v>
      </c>
      <c r="D71" s="364" t="s">
        <v>124</v>
      </c>
      <c r="E71" s="365">
        <f>E69</f>
        <v>101.54</v>
      </c>
      <c r="F71" s="63"/>
      <c r="G71" s="64"/>
      <c r="H71" s="65"/>
      <c r="I71" s="64"/>
      <c r="J71" s="64"/>
      <c r="K71" s="66"/>
      <c r="L71" s="67"/>
      <c r="M71" s="64"/>
      <c r="N71" s="64"/>
      <c r="O71" s="64"/>
      <c r="P71" s="68"/>
      <c r="Q71" s="69"/>
      <c r="R71" s="137"/>
      <c r="S71" s="69"/>
      <c r="T71" s="243"/>
      <c r="U71" s="243"/>
      <c r="V71" s="243"/>
      <c r="W71" s="243"/>
      <c r="X71" s="243"/>
      <c r="Y71" s="243"/>
      <c r="Z71" s="243"/>
      <c r="AA71" s="243"/>
      <c r="AB71" s="243"/>
      <c r="AC71" s="243"/>
      <c r="AD71" s="243"/>
      <c r="AE71" s="243"/>
      <c r="AF71" s="243"/>
      <c r="AG71" s="243"/>
      <c r="AH71" s="243"/>
      <c r="AI71" s="243"/>
      <c r="AJ71" s="243"/>
      <c r="AK71" s="243"/>
      <c r="AL71" s="243"/>
      <c r="AM71" s="243"/>
      <c r="AN71" s="243"/>
      <c r="AO71" s="243"/>
      <c r="AP71" s="243"/>
      <c r="AQ71" s="243"/>
      <c r="AR71" s="243"/>
      <c r="AS71" s="243"/>
      <c r="AT71" s="243"/>
      <c r="AU71" s="243"/>
      <c r="AV71" s="243"/>
      <c r="AW71" s="243"/>
      <c r="AX71" s="243"/>
      <c r="AY71" s="243"/>
      <c r="AZ71" s="243"/>
      <c r="BA71" s="243"/>
      <c r="BB71" s="243"/>
      <c r="BC71" s="243"/>
      <c r="BD71" s="243"/>
      <c r="BE71" s="243"/>
      <c r="BF71" s="243"/>
      <c r="BG71" s="243"/>
      <c r="BH71" s="243"/>
      <c r="BI71" s="243"/>
      <c r="BJ71" s="243"/>
      <c r="BK71" s="243"/>
      <c r="BL71" s="243"/>
      <c r="BM71" s="243"/>
      <c r="BN71" s="243"/>
      <c r="BO71" s="243"/>
      <c r="BP71" s="243"/>
      <c r="BQ71" s="243"/>
      <c r="BR71" s="243"/>
      <c r="BS71" s="243"/>
      <c r="BT71" s="243"/>
      <c r="BU71" s="243"/>
      <c r="BV71" s="243"/>
      <c r="BW71" s="243"/>
      <c r="BX71" s="243"/>
      <c r="BY71" s="243"/>
      <c r="BZ71" s="243"/>
      <c r="CA71" s="243"/>
      <c r="CB71" s="243"/>
      <c r="CC71" s="243"/>
      <c r="CD71" s="243"/>
      <c r="CE71" s="243"/>
      <c r="CF71" s="243"/>
      <c r="CG71" s="243"/>
      <c r="CH71" s="243"/>
      <c r="CI71" s="243"/>
      <c r="CJ71" s="243"/>
      <c r="CK71" s="243"/>
      <c r="CL71" s="243"/>
      <c r="CM71" s="243"/>
      <c r="CN71" s="243"/>
      <c r="CO71" s="243"/>
      <c r="CP71" s="243"/>
      <c r="CQ71" s="243"/>
      <c r="CR71" s="243"/>
      <c r="CS71" s="243"/>
      <c r="CT71" s="243"/>
      <c r="CU71" s="243"/>
      <c r="CV71" s="243"/>
      <c r="CW71" s="243"/>
      <c r="CX71" s="243"/>
      <c r="CY71" s="243"/>
      <c r="CZ71" s="243"/>
      <c r="DA71" s="243"/>
      <c r="DB71" s="243"/>
      <c r="DC71" s="243"/>
      <c r="DD71" s="243"/>
      <c r="DE71" s="243"/>
      <c r="DF71" s="243"/>
      <c r="DG71" s="243"/>
      <c r="DH71" s="243"/>
      <c r="DI71" s="243"/>
      <c r="DJ71" s="243"/>
      <c r="DK71" s="243"/>
      <c r="DL71" s="243"/>
      <c r="DM71" s="243"/>
      <c r="DN71" s="243"/>
      <c r="DO71" s="243"/>
      <c r="DP71" s="243"/>
      <c r="DQ71" s="243"/>
      <c r="DR71" s="243"/>
      <c r="DS71" s="243"/>
      <c r="DT71" s="243"/>
      <c r="DU71" s="243"/>
      <c r="DV71" s="243"/>
      <c r="DW71" s="243"/>
      <c r="DX71" s="243"/>
      <c r="DY71" s="243"/>
      <c r="DZ71" s="243"/>
      <c r="EA71" s="243"/>
      <c r="EB71" s="243"/>
      <c r="EC71" s="243"/>
      <c r="ED71" s="243"/>
      <c r="EE71" s="243"/>
      <c r="EF71" s="243"/>
      <c r="EG71" s="243"/>
      <c r="EH71" s="243"/>
      <c r="EI71" s="243"/>
      <c r="EJ71" s="243"/>
      <c r="EK71" s="243"/>
      <c r="EL71" s="243"/>
      <c r="EM71" s="243"/>
      <c r="EN71" s="243"/>
      <c r="EO71" s="243"/>
      <c r="EP71" s="243"/>
      <c r="EQ71" s="243"/>
      <c r="ER71" s="243"/>
      <c r="ES71" s="243"/>
      <c r="ET71" s="243"/>
      <c r="EU71" s="243"/>
      <c r="EV71" s="243"/>
      <c r="EW71" s="243"/>
      <c r="EX71" s="243"/>
      <c r="EY71" s="243"/>
      <c r="EZ71" s="243"/>
      <c r="FA71" s="243"/>
      <c r="FB71" s="243"/>
      <c r="FC71" s="243"/>
      <c r="FD71" s="243"/>
      <c r="FE71" s="243"/>
      <c r="FF71" s="243"/>
      <c r="FG71" s="243"/>
      <c r="FH71" s="243"/>
      <c r="FI71" s="243"/>
      <c r="FJ71" s="243"/>
      <c r="FK71" s="243"/>
      <c r="FL71" s="243"/>
      <c r="FM71" s="243"/>
      <c r="FN71" s="243"/>
      <c r="FO71" s="243"/>
      <c r="FP71" s="243"/>
      <c r="FQ71" s="243"/>
      <c r="FR71" s="243"/>
      <c r="FS71" s="243"/>
      <c r="FT71" s="243"/>
      <c r="FU71" s="243"/>
      <c r="FV71" s="243"/>
      <c r="FW71" s="243"/>
      <c r="FX71" s="243"/>
      <c r="FY71" s="243"/>
      <c r="FZ71" s="243"/>
      <c r="GA71" s="243"/>
      <c r="GB71" s="243"/>
      <c r="GC71" s="243"/>
      <c r="GD71" s="243"/>
      <c r="GE71" s="243"/>
      <c r="GF71" s="243"/>
      <c r="GG71" s="243"/>
      <c r="GH71" s="243"/>
      <c r="GI71" s="243"/>
      <c r="GJ71" s="243"/>
      <c r="GK71" s="243"/>
      <c r="GL71" s="243"/>
      <c r="GM71" s="243"/>
      <c r="GN71" s="243"/>
      <c r="GO71" s="243"/>
      <c r="GP71" s="243"/>
      <c r="GQ71" s="243"/>
      <c r="GR71" s="243"/>
      <c r="GS71" s="243"/>
      <c r="GT71" s="243"/>
      <c r="GU71" s="243"/>
      <c r="GV71" s="243"/>
      <c r="GW71" s="243"/>
      <c r="GX71" s="243"/>
      <c r="GY71" s="243"/>
      <c r="GZ71" s="243"/>
      <c r="HA71" s="243"/>
      <c r="HB71" s="243"/>
      <c r="HC71" s="243"/>
      <c r="HD71" s="243"/>
      <c r="HE71" s="243"/>
      <c r="HF71" s="243"/>
      <c r="HG71" s="243"/>
      <c r="HH71" s="243"/>
      <c r="HI71" s="243"/>
      <c r="HJ71" s="243"/>
      <c r="HK71" s="243"/>
      <c r="HL71" s="243"/>
      <c r="HM71" s="243"/>
      <c r="HN71" s="243"/>
      <c r="HO71" s="243"/>
      <c r="HP71" s="243"/>
      <c r="HQ71" s="243"/>
      <c r="HR71" s="243"/>
      <c r="HS71" s="243"/>
      <c r="HT71" s="243"/>
      <c r="HU71" s="243"/>
      <c r="HV71" s="243"/>
      <c r="HW71" s="243"/>
      <c r="HX71" s="243"/>
      <c r="HY71" s="243"/>
      <c r="HZ71" s="243"/>
      <c r="IA71" s="243"/>
    </row>
    <row r="72" spans="1:235" s="244" customFormat="1" ht="27.6" customHeight="1" x14ac:dyDescent="0.2">
      <c r="A72" s="245"/>
      <c r="B72" s="145"/>
      <c r="C72" s="368" t="s">
        <v>616</v>
      </c>
      <c r="D72" s="369"/>
      <c r="E72" s="347"/>
      <c r="F72" s="111"/>
      <c r="G72" s="64"/>
      <c r="H72" s="65"/>
      <c r="I72" s="64"/>
      <c r="J72" s="64"/>
      <c r="K72" s="68"/>
      <c r="L72" s="112"/>
      <c r="M72" s="64"/>
      <c r="N72" s="64"/>
      <c r="O72" s="64"/>
      <c r="P72" s="68"/>
      <c r="Q72" s="69"/>
      <c r="R72" s="137"/>
      <c r="S72" s="69"/>
      <c r="T72" s="243"/>
      <c r="U72" s="243"/>
      <c r="V72" s="243"/>
      <c r="W72" s="243"/>
      <c r="X72" s="243"/>
      <c r="Y72" s="243"/>
      <c r="Z72" s="243"/>
      <c r="AA72" s="243"/>
      <c r="AB72" s="243"/>
      <c r="AC72" s="243"/>
      <c r="AD72" s="243"/>
      <c r="AE72" s="243"/>
      <c r="AF72" s="243"/>
      <c r="AG72" s="243"/>
      <c r="AH72" s="243"/>
      <c r="AI72" s="243"/>
      <c r="AJ72" s="243"/>
      <c r="AK72" s="243"/>
      <c r="AL72" s="243"/>
      <c r="AM72" s="243"/>
      <c r="AN72" s="243"/>
      <c r="AO72" s="243"/>
      <c r="AP72" s="243"/>
      <c r="AQ72" s="243"/>
      <c r="AR72" s="243"/>
      <c r="AS72" s="243"/>
      <c r="AT72" s="243"/>
      <c r="AU72" s="243"/>
      <c r="AV72" s="243"/>
      <c r="AW72" s="243"/>
      <c r="AX72" s="243"/>
      <c r="AY72" s="243"/>
      <c r="AZ72" s="243"/>
      <c r="BA72" s="243"/>
      <c r="BB72" s="243"/>
      <c r="BC72" s="243"/>
      <c r="BD72" s="243"/>
      <c r="BE72" s="243"/>
      <c r="BF72" s="243"/>
      <c r="BG72" s="243"/>
      <c r="BH72" s="243"/>
      <c r="BI72" s="243"/>
      <c r="BJ72" s="243"/>
      <c r="BK72" s="243"/>
      <c r="BL72" s="243"/>
      <c r="BM72" s="243"/>
      <c r="BN72" s="243"/>
      <c r="BO72" s="243"/>
      <c r="BP72" s="243"/>
      <c r="BQ72" s="243"/>
      <c r="BR72" s="243"/>
      <c r="BS72" s="243"/>
      <c r="BT72" s="243"/>
      <c r="BU72" s="243"/>
      <c r="BV72" s="243"/>
      <c r="BW72" s="243"/>
      <c r="BX72" s="243"/>
      <c r="BY72" s="243"/>
      <c r="BZ72" s="243"/>
      <c r="CA72" s="243"/>
      <c r="CB72" s="243"/>
      <c r="CC72" s="243"/>
      <c r="CD72" s="243"/>
      <c r="CE72" s="243"/>
      <c r="CF72" s="243"/>
      <c r="CG72" s="243"/>
      <c r="CH72" s="243"/>
      <c r="CI72" s="243"/>
      <c r="CJ72" s="243"/>
      <c r="CK72" s="243"/>
      <c r="CL72" s="243"/>
      <c r="CM72" s="243"/>
      <c r="CN72" s="243"/>
      <c r="CO72" s="243"/>
      <c r="CP72" s="243"/>
      <c r="CQ72" s="243"/>
      <c r="CR72" s="243"/>
      <c r="CS72" s="243"/>
      <c r="CT72" s="243"/>
      <c r="CU72" s="243"/>
      <c r="CV72" s="243"/>
      <c r="CW72" s="243"/>
      <c r="CX72" s="243"/>
      <c r="CY72" s="243"/>
      <c r="CZ72" s="243"/>
      <c r="DA72" s="243"/>
      <c r="DB72" s="243"/>
      <c r="DC72" s="243"/>
      <c r="DD72" s="243"/>
      <c r="DE72" s="243"/>
      <c r="DF72" s="243"/>
      <c r="DG72" s="243"/>
      <c r="DH72" s="243"/>
      <c r="DI72" s="243"/>
      <c r="DJ72" s="243"/>
      <c r="DK72" s="243"/>
      <c r="DL72" s="243"/>
      <c r="DM72" s="243"/>
      <c r="DN72" s="243"/>
      <c r="DO72" s="243"/>
      <c r="DP72" s="243"/>
      <c r="DQ72" s="243"/>
      <c r="DR72" s="243"/>
      <c r="DS72" s="243"/>
      <c r="DT72" s="243"/>
      <c r="DU72" s="243"/>
      <c r="DV72" s="243"/>
      <c r="DW72" s="243"/>
      <c r="DX72" s="243"/>
      <c r="DY72" s="243"/>
      <c r="DZ72" s="243"/>
      <c r="EA72" s="243"/>
      <c r="EB72" s="243"/>
      <c r="EC72" s="243"/>
      <c r="ED72" s="243"/>
      <c r="EE72" s="243"/>
      <c r="EF72" s="243"/>
      <c r="EG72" s="243"/>
      <c r="EH72" s="243"/>
      <c r="EI72" s="243"/>
      <c r="EJ72" s="243"/>
      <c r="EK72" s="243"/>
      <c r="EL72" s="243"/>
      <c r="EM72" s="243"/>
      <c r="EN72" s="243"/>
      <c r="EO72" s="243"/>
      <c r="EP72" s="243"/>
      <c r="EQ72" s="243"/>
      <c r="ER72" s="243"/>
      <c r="ES72" s="243"/>
      <c r="ET72" s="243"/>
      <c r="EU72" s="243"/>
      <c r="EV72" s="243"/>
      <c r="EW72" s="243"/>
      <c r="EX72" s="243"/>
      <c r="EY72" s="243"/>
      <c r="EZ72" s="243"/>
      <c r="FA72" s="243"/>
      <c r="FB72" s="243"/>
      <c r="FC72" s="243"/>
      <c r="FD72" s="243"/>
      <c r="FE72" s="243"/>
      <c r="FF72" s="243"/>
      <c r="FG72" s="243"/>
      <c r="FH72" s="243"/>
      <c r="FI72" s="243"/>
      <c r="FJ72" s="243"/>
      <c r="FK72" s="243"/>
      <c r="FL72" s="243"/>
      <c r="FM72" s="243"/>
      <c r="FN72" s="243"/>
      <c r="FO72" s="243"/>
      <c r="FP72" s="243"/>
      <c r="FQ72" s="243"/>
      <c r="FR72" s="243"/>
      <c r="FS72" s="243"/>
      <c r="FT72" s="243"/>
      <c r="FU72" s="243"/>
      <c r="FV72" s="243"/>
      <c r="FW72" s="243"/>
      <c r="FX72" s="243"/>
      <c r="FY72" s="243"/>
      <c r="FZ72" s="243"/>
      <c r="GA72" s="243"/>
      <c r="GB72" s="243"/>
      <c r="GC72" s="243"/>
      <c r="GD72" s="243"/>
      <c r="GE72" s="243"/>
      <c r="GF72" s="243"/>
      <c r="GG72" s="243"/>
      <c r="GH72" s="243"/>
      <c r="GI72" s="243"/>
      <c r="GJ72" s="243"/>
      <c r="GK72" s="243"/>
      <c r="GL72" s="243"/>
      <c r="GM72" s="243"/>
      <c r="GN72" s="243"/>
      <c r="GO72" s="243"/>
      <c r="GP72" s="243"/>
      <c r="GQ72" s="243"/>
      <c r="GR72" s="243"/>
      <c r="GS72" s="243"/>
      <c r="GT72" s="243"/>
      <c r="GU72" s="243"/>
      <c r="GV72" s="243"/>
      <c r="GW72" s="243"/>
      <c r="GX72" s="243"/>
      <c r="GY72" s="243"/>
      <c r="GZ72" s="243"/>
      <c r="HA72" s="243"/>
      <c r="HB72" s="243"/>
      <c r="HC72" s="243"/>
      <c r="HD72" s="243"/>
      <c r="HE72" s="243"/>
      <c r="HF72" s="243"/>
      <c r="HG72" s="243"/>
      <c r="HH72" s="243"/>
      <c r="HI72" s="243"/>
      <c r="HJ72" s="243"/>
      <c r="HK72" s="243"/>
      <c r="HL72" s="243"/>
      <c r="HM72" s="243"/>
      <c r="HN72" s="243"/>
      <c r="HO72" s="243"/>
      <c r="HP72" s="243"/>
      <c r="HQ72" s="243"/>
      <c r="HR72" s="243"/>
      <c r="HS72" s="243"/>
      <c r="HT72" s="243"/>
      <c r="HU72" s="243"/>
      <c r="HV72" s="243"/>
      <c r="HW72" s="243"/>
      <c r="HX72" s="243"/>
      <c r="HY72" s="243"/>
      <c r="HZ72" s="243"/>
      <c r="IA72" s="243"/>
    </row>
    <row r="73" spans="1:235" s="244" customFormat="1" ht="27" customHeight="1" x14ac:dyDescent="0.25">
      <c r="A73" s="245">
        <v>1</v>
      </c>
      <c r="B73" s="145" t="s">
        <v>108</v>
      </c>
      <c r="C73" s="332" t="s">
        <v>323</v>
      </c>
      <c r="D73" s="370" t="s">
        <v>124</v>
      </c>
      <c r="E73" s="347">
        <v>240.37</v>
      </c>
      <c r="F73" s="111"/>
      <c r="G73" s="64"/>
      <c r="H73" s="65"/>
      <c r="I73" s="64"/>
      <c r="J73" s="64"/>
      <c r="K73" s="68"/>
      <c r="L73" s="112"/>
      <c r="M73" s="64"/>
      <c r="N73" s="64"/>
      <c r="O73" s="64"/>
      <c r="P73" s="68"/>
      <c r="Q73" s="69"/>
      <c r="R73" s="137"/>
      <c r="S73" s="69"/>
      <c r="T73" s="243"/>
      <c r="U73" s="243"/>
      <c r="V73" s="243"/>
      <c r="W73" s="243"/>
      <c r="X73" s="243"/>
      <c r="Y73" s="243"/>
      <c r="Z73" s="243"/>
      <c r="AA73" s="243"/>
      <c r="AB73" s="243"/>
      <c r="AC73" s="243"/>
      <c r="AD73" s="243"/>
      <c r="AE73" s="243"/>
      <c r="AF73" s="243"/>
      <c r="AG73" s="243"/>
      <c r="AH73" s="243"/>
      <c r="AI73" s="243"/>
      <c r="AJ73" s="243"/>
      <c r="AK73" s="243"/>
      <c r="AL73" s="243"/>
      <c r="AM73" s="243"/>
      <c r="AN73" s="243"/>
      <c r="AO73" s="243"/>
      <c r="AP73" s="243"/>
      <c r="AQ73" s="243"/>
      <c r="AR73" s="243"/>
      <c r="AS73" s="243"/>
      <c r="AT73" s="243"/>
      <c r="AU73" s="243"/>
      <c r="AV73" s="243"/>
      <c r="AW73" s="243"/>
      <c r="AX73" s="243"/>
      <c r="AY73" s="243"/>
      <c r="AZ73" s="243"/>
      <c r="BA73" s="243"/>
      <c r="BB73" s="243"/>
      <c r="BC73" s="243"/>
      <c r="BD73" s="243"/>
      <c r="BE73" s="243"/>
      <c r="BF73" s="243"/>
      <c r="BG73" s="243"/>
      <c r="BH73" s="243"/>
      <c r="BI73" s="243"/>
      <c r="BJ73" s="243"/>
      <c r="BK73" s="243"/>
      <c r="BL73" s="243"/>
      <c r="BM73" s="243"/>
      <c r="BN73" s="243"/>
      <c r="BO73" s="243"/>
      <c r="BP73" s="243"/>
      <c r="BQ73" s="243"/>
      <c r="BR73" s="243"/>
      <c r="BS73" s="243"/>
      <c r="BT73" s="243"/>
      <c r="BU73" s="243"/>
      <c r="BV73" s="243"/>
      <c r="BW73" s="243"/>
      <c r="BX73" s="243"/>
      <c r="BY73" s="243"/>
      <c r="BZ73" s="243"/>
      <c r="CA73" s="243"/>
      <c r="CB73" s="243"/>
      <c r="CC73" s="243"/>
      <c r="CD73" s="243"/>
      <c r="CE73" s="243"/>
      <c r="CF73" s="243"/>
      <c r="CG73" s="243"/>
      <c r="CH73" s="243"/>
      <c r="CI73" s="243"/>
      <c r="CJ73" s="243"/>
      <c r="CK73" s="243"/>
      <c r="CL73" s="243"/>
      <c r="CM73" s="243"/>
      <c r="CN73" s="243"/>
      <c r="CO73" s="243"/>
      <c r="CP73" s="243"/>
      <c r="CQ73" s="243"/>
      <c r="CR73" s="243"/>
      <c r="CS73" s="243"/>
      <c r="CT73" s="243"/>
      <c r="CU73" s="243"/>
      <c r="CV73" s="243"/>
      <c r="CW73" s="243"/>
      <c r="CX73" s="243"/>
      <c r="CY73" s="243"/>
      <c r="CZ73" s="243"/>
      <c r="DA73" s="243"/>
      <c r="DB73" s="243"/>
      <c r="DC73" s="243"/>
      <c r="DD73" s="243"/>
      <c r="DE73" s="243"/>
      <c r="DF73" s="243"/>
      <c r="DG73" s="243"/>
      <c r="DH73" s="243"/>
      <c r="DI73" s="243"/>
      <c r="DJ73" s="243"/>
      <c r="DK73" s="243"/>
      <c r="DL73" s="243"/>
      <c r="DM73" s="243"/>
      <c r="DN73" s="243"/>
      <c r="DO73" s="243"/>
      <c r="DP73" s="243"/>
      <c r="DQ73" s="243"/>
      <c r="DR73" s="243"/>
      <c r="DS73" s="243"/>
      <c r="DT73" s="243"/>
      <c r="DU73" s="243"/>
      <c r="DV73" s="243"/>
      <c r="DW73" s="243"/>
      <c r="DX73" s="243"/>
      <c r="DY73" s="243"/>
      <c r="DZ73" s="243"/>
      <c r="EA73" s="243"/>
      <c r="EB73" s="243"/>
      <c r="EC73" s="243"/>
      <c r="ED73" s="243"/>
      <c r="EE73" s="243"/>
      <c r="EF73" s="243"/>
      <c r="EG73" s="243"/>
      <c r="EH73" s="243"/>
      <c r="EI73" s="243"/>
      <c r="EJ73" s="243"/>
      <c r="EK73" s="243"/>
      <c r="EL73" s="243"/>
      <c r="EM73" s="243"/>
      <c r="EN73" s="243"/>
      <c r="EO73" s="243"/>
      <c r="EP73" s="243"/>
      <c r="EQ73" s="243"/>
      <c r="ER73" s="243"/>
      <c r="ES73" s="243"/>
      <c r="ET73" s="243"/>
      <c r="EU73" s="243"/>
      <c r="EV73" s="243"/>
      <c r="EW73" s="243"/>
      <c r="EX73" s="243"/>
      <c r="EY73" s="243"/>
      <c r="EZ73" s="243"/>
      <c r="FA73" s="243"/>
      <c r="FB73" s="243"/>
      <c r="FC73" s="243"/>
      <c r="FD73" s="243"/>
      <c r="FE73" s="243"/>
      <c r="FF73" s="243"/>
      <c r="FG73" s="243"/>
      <c r="FH73" s="243"/>
      <c r="FI73" s="243"/>
      <c r="FJ73" s="243"/>
      <c r="FK73" s="243"/>
      <c r="FL73" s="243"/>
      <c r="FM73" s="243"/>
      <c r="FN73" s="243"/>
      <c r="FO73" s="243"/>
      <c r="FP73" s="243"/>
      <c r="FQ73" s="243"/>
      <c r="FR73" s="243"/>
      <c r="FS73" s="243"/>
      <c r="FT73" s="243"/>
      <c r="FU73" s="243"/>
      <c r="FV73" s="243"/>
      <c r="FW73" s="243"/>
      <c r="FX73" s="243"/>
      <c r="FY73" s="243"/>
      <c r="FZ73" s="243"/>
      <c r="GA73" s="243"/>
      <c r="GB73" s="243"/>
      <c r="GC73" s="243"/>
      <c r="GD73" s="243"/>
      <c r="GE73" s="243"/>
      <c r="GF73" s="243"/>
      <c r="GG73" s="243"/>
      <c r="GH73" s="243"/>
      <c r="GI73" s="243"/>
      <c r="GJ73" s="243"/>
      <c r="GK73" s="243"/>
      <c r="GL73" s="243"/>
      <c r="GM73" s="243"/>
      <c r="GN73" s="243"/>
      <c r="GO73" s="243"/>
      <c r="GP73" s="243"/>
      <c r="GQ73" s="243"/>
      <c r="GR73" s="243"/>
      <c r="GS73" s="243"/>
      <c r="GT73" s="243"/>
      <c r="GU73" s="243"/>
      <c r="GV73" s="243"/>
      <c r="GW73" s="243"/>
      <c r="GX73" s="243"/>
      <c r="GY73" s="243"/>
      <c r="GZ73" s="243"/>
      <c r="HA73" s="243"/>
      <c r="HB73" s="243"/>
      <c r="HC73" s="243"/>
      <c r="HD73" s="243"/>
      <c r="HE73" s="243"/>
      <c r="HF73" s="243"/>
      <c r="HG73" s="243"/>
      <c r="HH73" s="243"/>
      <c r="HI73" s="243"/>
      <c r="HJ73" s="243"/>
      <c r="HK73" s="243"/>
      <c r="HL73" s="243"/>
      <c r="HM73" s="243"/>
      <c r="HN73" s="243"/>
      <c r="HO73" s="243"/>
      <c r="HP73" s="243"/>
      <c r="HQ73" s="243"/>
      <c r="HR73" s="243"/>
      <c r="HS73" s="243"/>
      <c r="HT73" s="243"/>
      <c r="HU73" s="243"/>
      <c r="HV73" s="243"/>
      <c r="HW73" s="243"/>
      <c r="HX73" s="243"/>
      <c r="HY73" s="243"/>
      <c r="HZ73" s="243"/>
      <c r="IA73" s="243"/>
    </row>
    <row r="74" spans="1:235" s="244" customFormat="1" ht="14.25" customHeight="1" x14ac:dyDescent="0.25">
      <c r="A74" s="245">
        <v>2</v>
      </c>
      <c r="B74" s="145"/>
      <c r="C74" s="348" t="s">
        <v>324</v>
      </c>
      <c r="D74" s="370" t="s">
        <v>124</v>
      </c>
      <c r="E74" s="347">
        <f>E73</f>
        <v>240.37</v>
      </c>
      <c r="F74" s="111"/>
      <c r="G74" s="64"/>
      <c r="H74" s="65"/>
      <c r="I74" s="64"/>
      <c r="J74" s="64"/>
      <c r="K74" s="68"/>
      <c r="L74" s="112"/>
      <c r="M74" s="64"/>
      <c r="N74" s="64"/>
      <c r="O74" s="64"/>
      <c r="P74" s="68"/>
      <c r="Q74" s="69"/>
      <c r="R74" s="137"/>
      <c r="S74" s="69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  <c r="AD74" s="243"/>
      <c r="AE74" s="243"/>
      <c r="AF74" s="243"/>
      <c r="AG74" s="243"/>
      <c r="AH74" s="243"/>
      <c r="AI74" s="243"/>
      <c r="AJ74" s="243"/>
      <c r="AK74" s="243"/>
      <c r="AL74" s="243"/>
      <c r="AM74" s="243"/>
      <c r="AN74" s="243"/>
      <c r="AO74" s="243"/>
      <c r="AP74" s="243"/>
      <c r="AQ74" s="243"/>
      <c r="AR74" s="243"/>
      <c r="AS74" s="243"/>
      <c r="AT74" s="243"/>
      <c r="AU74" s="243"/>
      <c r="AV74" s="243"/>
      <c r="AW74" s="243"/>
      <c r="AX74" s="243"/>
      <c r="AY74" s="243"/>
      <c r="AZ74" s="243"/>
      <c r="BA74" s="243"/>
      <c r="BB74" s="243"/>
      <c r="BC74" s="243"/>
      <c r="BD74" s="243"/>
      <c r="BE74" s="243"/>
      <c r="BF74" s="243"/>
      <c r="BG74" s="243"/>
      <c r="BH74" s="243"/>
      <c r="BI74" s="243"/>
      <c r="BJ74" s="243"/>
      <c r="BK74" s="243"/>
      <c r="BL74" s="243"/>
      <c r="BM74" s="243"/>
      <c r="BN74" s="243"/>
      <c r="BO74" s="243"/>
      <c r="BP74" s="243"/>
      <c r="BQ74" s="243"/>
      <c r="BR74" s="243"/>
      <c r="BS74" s="243"/>
      <c r="BT74" s="243"/>
      <c r="BU74" s="243"/>
      <c r="BV74" s="243"/>
      <c r="BW74" s="243"/>
      <c r="BX74" s="243"/>
      <c r="BY74" s="243"/>
      <c r="BZ74" s="243"/>
      <c r="CA74" s="243"/>
      <c r="CB74" s="243"/>
      <c r="CC74" s="243"/>
      <c r="CD74" s="243"/>
      <c r="CE74" s="243"/>
      <c r="CF74" s="243"/>
      <c r="CG74" s="243"/>
      <c r="CH74" s="243"/>
      <c r="CI74" s="243"/>
      <c r="CJ74" s="243"/>
      <c r="CK74" s="243"/>
      <c r="CL74" s="243"/>
      <c r="CM74" s="243"/>
      <c r="CN74" s="243"/>
      <c r="CO74" s="243"/>
      <c r="CP74" s="243"/>
      <c r="CQ74" s="243"/>
      <c r="CR74" s="243"/>
      <c r="CS74" s="243"/>
      <c r="CT74" s="243"/>
      <c r="CU74" s="243"/>
      <c r="CV74" s="243"/>
      <c r="CW74" s="243"/>
      <c r="CX74" s="243"/>
      <c r="CY74" s="243"/>
      <c r="CZ74" s="243"/>
      <c r="DA74" s="243"/>
      <c r="DB74" s="243"/>
      <c r="DC74" s="243"/>
      <c r="DD74" s="243"/>
      <c r="DE74" s="243"/>
      <c r="DF74" s="243"/>
      <c r="DG74" s="243"/>
      <c r="DH74" s="243"/>
      <c r="DI74" s="243"/>
      <c r="DJ74" s="243"/>
      <c r="DK74" s="243"/>
      <c r="DL74" s="243"/>
      <c r="DM74" s="243"/>
      <c r="DN74" s="243"/>
      <c r="DO74" s="243"/>
      <c r="DP74" s="243"/>
      <c r="DQ74" s="243"/>
      <c r="DR74" s="243"/>
      <c r="DS74" s="243"/>
      <c r="DT74" s="243"/>
      <c r="DU74" s="243"/>
      <c r="DV74" s="243"/>
      <c r="DW74" s="243"/>
      <c r="DX74" s="243"/>
      <c r="DY74" s="243"/>
      <c r="DZ74" s="243"/>
      <c r="EA74" s="243"/>
      <c r="EB74" s="243"/>
      <c r="EC74" s="243"/>
      <c r="ED74" s="243"/>
      <c r="EE74" s="243"/>
      <c r="EF74" s="243"/>
      <c r="EG74" s="243"/>
      <c r="EH74" s="243"/>
      <c r="EI74" s="243"/>
      <c r="EJ74" s="243"/>
      <c r="EK74" s="243"/>
      <c r="EL74" s="243"/>
      <c r="EM74" s="243"/>
      <c r="EN74" s="243"/>
      <c r="EO74" s="243"/>
      <c r="EP74" s="243"/>
      <c r="EQ74" s="243"/>
      <c r="ER74" s="243"/>
      <c r="ES74" s="243"/>
      <c r="ET74" s="243"/>
      <c r="EU74" s="243"/>
      <c r="EV74" s="243"/>
      <c r="EW74" s="243"/>
      <c r="EX74" s="243"/>
      <c r="EY74" s="243"/>
      <c r="EZ74" s="243"/>
      <c r="FA74" s="243"/>
      <c r="FB74" s="243"/>
      <c r="FC74" s="243"/>
      <c r="FD74" s="243"/>
      <c r="FE74" s="243"/>
      <c r="FF74" s="243"/>
      <c r="FG74" s="243"/>
      <c r="FH74" s="243"/>
      <c r="FI74" s="243"/>
      <c r="FJ74" s="243"/>
      <c r="FK74" s="243"/>
      <c r="FL74" s="243"/>
      <c r="FM74" s="243"/>
      <c r="FN74" s="243"/>
      <c r="FO74" s="243"/>
      <c r="FP74" s="243"/>
      <c r="FQ74" s="243"/>
      <c r="FR74" s="243"/>
      <c r="FS74" s="243"/>
      <c r="FT74" s="243"/>
      <c r="FU74" s="243"/>
      <c r="FV74" s="243"/>
      <c r="FW74" s="243"/>
      <c r="FX74" s="243"/>
      <c r="FY74" s="243"/>
      <c r="FZ74" s="243"/>
      <c r="GA74" s="243"/>
      <c r="GB74" s="243"/>
      <c r="GC74" s="243"/>
      <c r="GD74" s="243"/>
      <c r="GE74" s="243"/>
      <c r="GF74" s="243"/>
      <c r="GG74" s="243"/>
      <c r="GH74" s="243"/>
      <c r="GI74" s="243"/>
      <c r="GJ74" s="243"/>
      <c r="GK74" s="243"/>
      <c r="GL74" s="243"/>
      <c r="GM74" s="243"/>
      <c r="GN74" s="243"/>
      <c r="GO74" s="243"/>
      <c r="GP74" s="243"/>
      <c r="GQ74" s="243"/>
      <c r="GR74" s="243"/>
      <c r="GS74" s="243"/>
      <c r="GT74" s="243"/>
      <c r="GU74" s="243"/>
      <c r="GV74" s="243"/>
      <c r="GW74" s="243"/>
      <c r="GX74" s="243"/>
      <c r="GY74" s="243"/>
      <c r="GZ74" s="243"/>
      <c r="HA74" s="243"/>
      <c r="HB74" s="243"/>
      <c r="HC74" s="243"/>
      <c r="HD74" s="243"/>
      <c r="HE74" s="243"/>
      <c r="HF74" s="243"/>
      <c r="HG74" s="243"/>
      <c r="HH74" s="243"/>
      <c r="HI74" s="243"/>
      <c r="HJ74" s="243"/>
      <c r="HK74" s="243"/>
      <c r="HL74" s="243"/>
      <c r="HM74" s="243"/>
      <c r="HN74" s="243"/>
      <c r="HO74" s="243"/>
      <c r="HP74" s="243"/>
      <c r="HQ74" s="243"/>
      <c r="HR74" s="243"/>
      <c r="HS74" s="243"/>
      <c r="HT74" s="243"/>
      <c r="HU74" s="243"/>
      <c r="HV74" s="243"/>
      <c r="HW74" s="243"/>
      <c r="HX74" s="243"/>
      <c r="HY74" s="243"/>
      <c r="HZ74" s="243"/>
      <c r="IA74" s="243"/>
    </row>
    <row r="75" spans="1:235" s="244" customFormat="1" ht="25.35" customHeight="1" x14ac:dyDescent="0.25">
      <c r="A75" s="245">
        <v>3</v>
      </c>
      <c r="B75" s="145"/>
      <c r="C75" s="348" t="s">
        <v>678</v>
      </c>
      <c r="D75" s="370" t="s">
        <v>124</v>
      </c>
      <c r="E75" s="347">
        <f>E73</f>
        <v>240.37</v>
      </c>
      <c r="F75" s="111"/>
      <c r="G75" s="64"/>
      <c r="H75" s="65"/>
      <c r="I75" s="64"/>
      <c r="J75" s="64"/>
      <c r="K75" s="68"/>
      <c r="L75" s="112"/>
      <c r="M75" s="64"/>
      <c r="N75" s="64"/>
      <c r="O75" s="64"/>
      <c r="P75" s="68"/>
      <c r="Q75" s="69"/>
      <c r="R75" s="137"/>
      <c r="S75" s="69"/>
      <c r="T75" s="243"/>
      <c r="U75" s="243"/>
      <c r="V75" s="243"/>
      <c r="W75" s="243"/>
      <c r="X75" s="243"/>
      <c r="Y75" s="243"/>
      <c r="Z75" s="243"/>
      <c r="AA75" s="243"/>
      <c r="AB75" s="243"/>
      <c r="AC75" s="243"/>
      <c r="AD75" s="243"/>
      <c r="AE75" s="243"/>
      <c r="AF75" s="243"/>
      <c r="AG75" s="243"/>
      <c r="AH75" s="243"/>
      <c r="AI75" s="243"/>
      <c r="AJ75" s="243"/>
      <c r="AK75" s="243"/>
      <c r="AL75" s="243"/>
      <c r="AM75" s="243"/>
      <c r="AN75" s="243"/>
      <c r="AO75" s="243"/>
      <c r="AP75" s="243"/>
      <c r="AQ75" s="243"/>
      <c r="AR75" s="243"/>
      <c r="AS75" s="243"/>
      <c r="AT75" s="243"/>
      <c r="AU75" s="243"/>
      <c r="AV75" s="243"/>
      <c r="AW75" s="243"/>
      <c r="AX75" s="243"/>
      <c r="AY75" s="243"/>
      <c r="AZ75" s="243"/>
      <c r="BA75" s="243"/>
      <c r="BB75" s="243"/>
      <c r="BC75" s="243"/>
      <c r="BD75" s="243"/>
      <c r="BE75" s="243"/>
      <c r="BF75" s="243"/>
      <c r="BG75" s="243"/>
      <c r="BH75" s="243"/>
      <c r="BI75" s="243"/>
      <c r="BJ75" s="243"/>
      <c r="BK75" s="243"/>
      <c r="BL75" s="243"/>
      <c r="BM75" s="243"/>
      <c r="BN75" s="243"/>
      <c r="BO75" s="243"/>
      <c r="BP75" s="243"/>
      <c r="BQ75" s="243"/>
      <c r="BR75" s="243"/>
      <c r="BS75" s="243"/>
      <c r="BT75" s="243"/>
      <c r="BU75" s="243"/>
      <c r="BV75" s="243"/>
      <c r="BW75" s="243"/>
      <c r="BX75" s="243"/>
      <c r="BY75" s="243"/>
      <c r="BZ75" s="243"/>
      <c r="CA75" s="243"/>
      <c r="CB75" s="243"/>
      <c r="CC75" s="243"/>
      <c r="CD75" s="243"/>
      <c r="CE75" s="243"/>
      <c r="CF75" s="243"/>
      <c r="CG75" s="243"/>
      <c r="CH75" s="243"/>
      <c r="CI75" s="243"/>
      <c r="CJ75" s="243"/>
      <c r="CK75" s="243"/>
      <c r="CL75" s="243"/>
      <c r="CM75" s="243"/>
      <c r="CN75" s="243"/>
      <c r="CO75" s="243"/>
      <c r="CP75" s="243"/>
      <c r="CQ75" s="243"/>
      <c r="CR75" s="243"/>
      <c r="CS75" s="243"/>
      <c r="CT75" s="243"/>
      <c r="CU75" s="243"/>
      <c r="CV75" s="243"/>
      <c r="CW75" s="243"/>
      <c r="CX75" s="243"/>
      <c r="CY75" s="243"/>
      <c r="CZ75" s="243"/>
      <c r="DA75" s="243"/>
      <c r="DB75" s="243"/>
      <c r="DC75" s="243"/>
      <c r="DD75" s="243"/>
      <c r="DE75" s="243"/>
      <c r="DF75" s="243"/>
      <c r="DG75" s="243"/>
      <c r="DH75" s="243"/>
      <c r="DI75" s="243"/>
      <c r="DJ75" s="243"/>
      <c r="DK75" s="243"/>
      <c r="DL75" s="243"/>
      <c r="DM75" s="243"/>
      <c r="DN75" s="243"/>
      <c r="DO75" s="243"/>
      <c r="DP75" s="243"/>
      <c r="DQ75" s="243"/>
      <c r="DR75" s="243"/>
      <c r="DS75" s="243"/>
      <c r="DT75" s="243"/>
      <c r="DU75" s="243"/>
      <c r="DV75" s="243"/>
      <c r="DW75" s="243"/>
      <c r="DX75" s="243"/>
      <c r="DY75" s="243"/>
      <c r="DZ75" s="243"/>
      <c r="EA75" s="243"/>
      <c r="EB75" s="243"/>
      <c r="EC75" s="243"/>
      <c r="ED75" s="243"/>
      <c r="EE75" s="243"/>
      <c r="EF75" s="243"/>
      <c r="EG75" s="243"/>
      <c r="EH75" s="243"/>
      <c r="EI75" s="243"/>
      <c r="EJ75" s="243"/>
      <c r="EK75" s="243"/>
      <c r="EL75" s="243"/>
      <c r="EM75" s="243"/>
      <c r="EN75" s="243"/>
      <c r="EO75" s="243"/>
      <c r="EP75" s="243"/>
      <c r="EQ75" s="243"/>
      <c r="ER75" s="243"/>
      <c r="ES75" s="243"/>
      <c r="ET75" s="243"/>
      <c r="EU75" s="243"/>
      <c r="EV75" s="243"/>
      <c r="EW75" s="243"/>
      <c r="EX75" s="243"/>
      <c r="EY75" s="243"/>
      <c r="EZ75" s="243"/>
      <c r="FA75" s="243"/>
      <c r="FB75" s="243"/>
      <c r="FC75" s="243"/>
      <c r="FD75" s="243"/>
      <c r="FE75" s="243"/>
      <c r="FF75" s="243"/>
      <c r="FG75" s="243"/>
      <c r="FH75" s="243"/>
      <c r="FI75" s="243"/>
      <c r="FJ75" s="243"/>
      <c r="FK75" s="243"/>
      <c r="FL75" s="243"/>
      <c r="FM75" s="243"/>
      <c r="FN75" s="243"/>
      <c r="FO75" s="243"/>
      <c r="FP75" s="243"/>
      <c r="FQ75" s="243"/>
      <c r="FR75" s="243"/>
      <c r="FS75" s="243"/>
      <c r="FT75" s="243"/>
      <c r="FU75" s="243"/>
      <c r="FV75" s="243"/>
      <c r="FW75" s="243"/>
      <c r="FX75" s="243"/>
      <c r="FY75" s="243"/>
      <c r="FZ75" s="243"/>
      <c r="GA75" s="243"/>
      <c r="GB75" s="243"/>
      <c r="GC75" s="243"/>
      <c r="GD75" s="243"/>
      <c r="GE75" s="243"/>
      <c r="GF75" s="243"/>
      <c r="GG75" s="243"/>
      <c r="GH75" s="243"/>
      <c r="GI75" s="243"/>
      <c r="GJ75" s="243"/>
      <c r="GK75" s="243"/>
      <c r="GL75" s="243"/>
      <c r="GM75" s="243"/>
      <c r="GN75" s="243"/>
      <c r="GO75" s="243"/>
      <c r="GP75" s="243"/>
      <c r="GQ75" s="243"/>
      <c r="GR75" s="243"/>
      <c r="GS75" s="243"/>
      <c r="GT75" s="243"/>
      <c r="GU75" s="243"/>
      <c r="GV75" s="243"/>
      <c r="GW75" s="243"/>
      <c r="GX75" s="243"/>
      <c r="GY75" s="243"/>
      <c r="GZ75" s="243"/>
      <c r="HA75" s="243"/>
      <c r="HB75" s="243"/>
      <c r="HC75" s="243"/>
      <c r="HD75" s="243"/>
      <c r="HE75" s="243"/>
      <c r="HF75" s="243"/>
      <c r="HG75" s="243"/>
      <c r="HH75" s="243"/>
      <c r="HI75" s="243"/>
      <c r="HJ75" s="243"/>
      <c r="HK75" s="243"/>
      <c r="HL75" s="243"/>
      <c r="HM75" s="243"/>
      <c r="HN75" s="243"/>
      <c r="HO75" s="243"/>
      <c r="HP75" s="243"/>
      <c r="HQ75" s="243"/>
      <c r="HR75" s="243"/>
      <c r="HS75" s="243"/>
      <c r="HT75" s="243"/>
      <c r="HU75" s="243"/>
      <c r="HV75" s="243"/>
      <c r="HW75" s="243"/>
      <c r="HX75" s="243"/>
      <c r="HY75" s="243"/>
      <c r="HZ75" s="243"/>
      <c r="IA75" s="243"/>
    </row>
    <row r="76" spans="1:235" s="244" customFormat="1" ht="14.25" customHeight="1" x14ac:dyDescent="0.25">
      <c r="A76" s="245">
        <v>4</v>
      </c>
      <c r="B76" s="145"/>
      <c r="C76" s="348" t="s">
        <v>194</v>
      </c>
      <c r="D76" s="370" t="s">
        <v>124</v>
      </c>
      <c r="E76" s="347">
        <f>E73</f>
        <v>240.37</v>
      </c>
      <c r="F76" s="111"/>
      <c r="G76" s="64"/>
      <c r="H76" s="65"/>
      <c r="I76" s="64"/>
      <c r="J76" s="64"/>
      <c r="K76" s="68"/>
      <c r="L76" s="112"/>
      <c r="M76" s="64"/>
      <c r="N76" s="64"/>
      <c r="O76" s="64"/>
      <c r="P76" s="68"/>
      <c r="Q76" s="69"/>
      <c r="R76" s="137"/>
      <c r="S76" s="69"/>
      <c r="T76" s="243"/>
      <c r="U76" s="243"/>
      <c r="V76" s="243"/>
      <c r="W76" s="243"/>
      <c r="X76" s="243"/>
      <c r="Y76" s="243"/>
      <c r="Z76" s="243"/>
      <c r="AA76" s="243"/>
      <c r="AB76" s="243"/>
      <c r="AC76" s="243"/>
      <c r="AD76" s="243"/>
      <c r="AE76" s="243"/>
      <c r="AF76" s="243"/>
      <c r="AG76" s="243"/>
      <c r="AH76" s="243"/>
      <c r="AI76" s="243"/>
      <c r="AJ76" s="243"/>
      <c r="AK76" s="243"/>
      <c r="AL76" s="243"/>
      <c r="AM76" s="243"/>
      <c r="AN76" s="243"/>
      <c r="AO76" s="243"/>
      <c r="AP76" s="243"/>
      <c r="AQ76" s="243"/>
      <c r="AR76" s="243"/>
      <c r="AS76" s="243"/>
      <c r="AT76" s="243"/>
      <c r="AU76" s="243"/>
      <c r="AV76" s="243"/>
      <c r="AW76" s="243"/>
      <c r="AX76" s="243"/>
      <c r="AY76" s="243"/>
      <c r="AZ76" s="243"/>
      <c r="BA76" s="243"/>
      <c r="BB76" s="243"/>
      <c r="BC76" s="243"/>
      <c r="BD76" s="243"/>
      <c r="BE76" s="243"/>
      <c r="BF76" s="243"/>
      <c r="BG76" s="243"/>
      <c r="BH76" s="243"/>
      <c r="BI76" s="243"/>
      <c r="BJ76" s="243"/>
      <c r="BK76" s="243"/>
      <c r="BL76" s="243"/>
      <c r="BM76" s="243"/>
      <c r="BN76" s="243"/>
      <c r="BO76" s="243"/>
      <c r="BP76" s="243"/>
      <c r="BQ76" s="243"/>
      <c r="BR76" s="243"/>
      <c r="BS76" s="243"/>
      <c r="BT76" s="243"/>
      <c r="BU76" s="243"/>
      <c r="BV76" s="243"/>
      <c r="BW76" s="243"/>
      <c r="BX76" s="243"/>
      <c r="BY76" s="243"/>
      <c r="BZ76" s="243"/>
      <c r="CA76" s="243"/>
      <c r="CB76" s="243"/>
      <c r="CC76" s="243"/>
      <c r="CD76" s="243"/>
      <c r="CE76" s="243"/>
      <c r="CF76" s="243"/>
      <c r="CG76" s="243"/>
      <c r="CH76" s="243"/>
      <c r="CI76" s="243"/>
      <c r="CJ76" s="243"/>
      <c r="CK76" s="243"/>
      <c r="CL76" s="243"/>
      <c r="CM76" s="243"/>
      <c r="CN76" s="243"/>
      <c r="CO76" s="243"/>
      <c r="CP76" s="243"/>
      <c r="CQ76" s="243"/>
      <c r="CR76" s="243"/>
      <c r="CS76" s="243"/>
      <c r="CT76" s="243"/>
      <c r="CU76" s="243"/>
      <c r="CV76" s="243"/>
      <c r="CW76" s="243"/>
      <c r="CX76" s="243"/>
      <c r="CY76" s="243"/>
      <c r="CZ76" s="243"/>
      <c r="DA76" s="243"/>
      <c r="DB76" s="243"/>
      <c r="DC76" s="243"/>
      <c r="DD76" s="243"/>
      <c r="DE76" s="243"/>
      <c r="DF76" s="243"/>
      <c r="DG76" s="243"/>
      <c r="DH76" s="243"/>
      <c r="DI76" s="243"/>
      <c r="DJ76" s="243"/>
      <c r="DK76" s="243"/>
      <c r="DL76" s="243"/>
      <c r="DM76" s="243"/>
      <c r="DN76" s="243"/>
      <c r="DO76" s="243"/>
      <c r="DP76" s="243"/>
      <c r="DQ76" s="243"/>
      <c r="DR76" s="243"/>
      <c r="DS76" s="243"/>
      <c r="DT76" s="243"/>
      <c r="DU76" s="243"/>
      <c r="DV76" s="243"/>
      <c r="DW76" s="243"/>
      <c r="DX76" s="243"/>
      <c r="DY76" s="243"/>
      <c r="DZ76" s="243"/>
      <c r="EA76" s="243"/>
      <c r="EB76" s="243"/>
      <c r="EC76" s="243"/>
      <c r="ED76" s="243"/>
      <c r="EE76" s="243"/>
      <c r="EF76" s="243"/>
      <c r="EG76" s="243"/>
      <c r="EH76" s="243"/>
      <c r="EI76" s="243"/>
      <c r="EJ76" s="243"/>
      <c r="EK76" s="243"/>
      <c r="EL76" s="243"/>
      <c r="EM76" s="243"/>
      <c r="EN76" s="243"/>
      <c r="EO76" s="243"/>
      <c r="EP76" s="243"/>
      <c r="EQ76" s="243"/>
      <c r="ER76" s="243"/>
      <c r="ES76" s="243"/>
      <c r="ET76" s="243"/>
      <c r="EU76" s="243"/>
      <c r="EV76" s="243"/>
      <c r="EW76" s="243"/>
      <c r="EX76" s="243"/>
      <c r="EY76" s="243"/>
      <c r="EZ76" s="243"/>
      <c r="FA76" s="243"/>
      <c r="FB76" s="243"/>
      <c r="FC76" s="243"/>
      <c r="FD76" s="243"/>
      <c r="FE76" s="243"/>
      <c r="FF76" s="243"/>
      <c r="FG76" s="243"/>
      <c r="FH76" s="243"/>
      <c r="FI76" s="243"/>
      <c r="FJ76" s="243"/>
      <c r="FK76" s="243"/>
      <c r="FL76" s="243"/>
      <c r="FM76" s="243"/>
      <c r="FN76" s="243"/>
      <c r="FO76" s="243"/>
      <c r="FP76" s="243"/>
      <c r="FQ76" s="243"/>
      <c r="FR76" s="243"/>
      <c r="FS76" s="243"/>
      <c r="FT76" s="243"/>
      <c r="FU76" s="243"/>
      <c r="FV76" s="243"/>
      <c r="FW76" s="243"/>
      <c r="FX76" s="243"/>
      <c r="FY76" s="243"/>
      <c r="FZ76" s="243"/>
      <c r="GA76" s="243"/>
      <c r="GB76" s="243"/>
      <c r="GC76" s="243"/>
      <c r="GD76" s="243"/>
      <c r="GE76" s="243"/>
      <c r="GF76" s="243"/>
      <c r="GG76" s="243"/>
      <c r="GH76" s="243"/>
      <c r="GI76" s="243"/>
      <c r="GJ76" s="243"/>
      <c r="GK76" s="243"/>
      <c r="GL76" s="243"/>
      <c r="GM76" s="243"/>
      <c r="GN76" s="243"/>
      <c r="GO76" s="243"/>
      <c r="GP76" s="243"/>
      <c r="GQ76" s="243"/>
      <c r="GR76" s="243"/>
      <c r="GS76" s="243"/>
      <c r="GT76" s="243"/>
      <c r="GU76" s="243"/>
      <c r="GV76" s="243"/>
      <c r="GW76" s="243"/>
      <c r="GX76" s="243"/>
      <c r="GY76" s="243"/>
      <c r="GZ76" s="243"/>
      <c r="HA76" s="243"/>
      <c r="HB76" s="243"/>
      <c r="HC76" s="243"/>
      <c r="HD76" s="243"/>
      <c r="HE76" s="243"/>
      <c r="HF76" s="243"/>
      <c r="HG76" s="243"/>
      <c r="HH76" s="243"/>
      <c r="HI76" s="243"/>
      <c r="HJ76" s="243"/>
      <c r="HK76" s="243"/>
      <c r="HL76" s="243"/>
      <c r="HM76" s="243"/>
      <c r="HN76" s="243"/>
      <c r="HO76" s="243"/>
      <c r="HP76" s="243"/>
      <c r="HQ76" s="243"/>
      <c r="HR76" s="243"/>
      <c r="HS76" s="243"/>
      <c r="HT76" s="243"/>
      <c r="HU76" s="243"/>
      <c r="HV76" s="243"/>
      <c r="HW76" s="243"/>
      <c r="HX76" s="243"/>
      <c r="HY76" s="243"/>
      <c r="HZ76" s="243"/>
      <c r="IA76" s="243"/>
    </row>
    <row r="77" spans="1:235" s="244" customFormat="1" ht="40.9" customHeight="1" x14ac:dyDescent="0.2">
      <c r="A77" s="245"/>
      <c r="B77" s="145"/>
      <c r="C77" s="368" t="s">
        <v>617</v>
      </c>
      <c r="D77" s="369"/>
      <c r="E77" s="347"/>
      <c r="F77" s="111"/>
      <c r="G77" s="64"/>
      <c r="H77" s="65"/>
      <c r="I77" s="64"/>
      <c r="J77" s="64"/>
      <c r="K77" s="68"/>
      <c r="L77" s="112"/>
      <c r="M77" s="64"/>
      <c r="N77" s="64"/>
      <c r="O77" s="64"/>
      <c r="P77" s="68"/>
      <c r="Q77" s="69"/>
      <c r="R77" s="137"/>
      <c r="S77" s="69"/>
      <c r="T77" s="243"/>
      <c r="U77" s="243"/>
      <c r="V77" s="243"/>
      <c r="W77" s="243"/>
      <c r="X77" s="243"/>
      <c r="Y77" s="243"/>
      <c r="Z77" s="243"/>
      <c r="AA77" s="243"/>
      <c r="AB77" s="243"/>
      <c r="AC77" s="243"/>
      <c r="AD77" s="243"/>
      <c r="AE77" s="243"/>
      <c r="AF77" s="243"/>
      <c r="AG77" s="243"/>
      <c r="AH77" s="243"/>
      <c r="AI77" s="243"/>
      <c r="AJ77" s="243"/>
      <c r="AK77" s="243"/>
      <c r="AL77" s="243"/>
      <c r="AM77" s="243"/>
      <c r="AN77" s="243"/>
      <c r="AO77" s="243"/>
      <c r="AP77" s="243"/>
      <c r="AQ77" s="243"/>
      <c r="AR77" s="243"/>
      <c r="AS77" s="243"/>
      <c r="AT77" s="243"/>
      <c r="AU77" s="243"/>
      <c r="AV77" s="243"/>
      <c r="AW77" s="243"/>
      <c r="AX77" s="243"/>
      <c r="AY77" s="243"/>
      <c r="AZ77" s="243"/>
      <c r="BA77" s="243"/>
      <c r="BB77" s="243"/>
      <c r="BC77" s="243"/>
      <c r="BD77" s="243"/>
      <c r="BE77" s="243"/>
      <c r="BF77" s="243"/>
      <c r="BG77" s="243"/>
      <c r="BH77" s="243"/>
      <c r="BI77" s="243"/>
      <c r="BJ77" s="243"/>
      <c r="BK77" s="243"/>
      <c r="BL77" s="243"/>
      <c r="BM77" s="243"/>
      <c r="BN77" s="243"/>
      <c r="BO77" s="243"/>
      <c r="BP77" s="243"/>
      <c r="BQ77" s="243"/>
      <c r="BR77" s="243"/>
      <c r="BS77" s="243"/>
      <c r="BT77" s="243"/>
      <c r="BU77" s="243"/>
      <c r="BV77" s="243"/>
      <c r="BW77" s="243"/>
      <c r="BX77" s="243"/>
      <c r="BY77" s="243"/>
      <c r="BZ77" s="243"/>
      <c r="CA77" s="243"/>
      <c r="CB77" s="243"/>
      <c r="CC77" s="243"/>
      <c r="CD77" s="243"/>
      <c r="CE77" s="243"/>
      <c r="CF77" s="243"/>
      <c r="CG77" s="243"/>
      <c r="CH77" s="243"/>
      <c r="CI77" s="243"/>
      <c r="CJ77" s="243"/>
      <c r="CK77" s="243"/>
      <c r="CL77" s="243"/>
      <c r="CM77" s="243"/>
      <c r="CN77" s="243"/>
      <c r="CO77" s="243"/>
      <c r="CP77" s="243"/>
      <c r="CQ77" s="243"/>
      <c r="CR77" s="243"/>
      <c r="CS77" s="243"/>
      <c r="CT77" s="243"/>
      <c r="CU77" s="243"/>
      <c r="CV77" s="243"/>
      <c r="CW77" s="243"/>
      <c r="CX77" s="243"/>
      <c r="CY77" s="243"/>
      <c r="CZ77" s="243"/>
      <c r="DA77" s="243"/>
      <c r="DB77" s="243"/>
      <c r="DC77" s="243"/>
      <c r="DD77" s="243"/>
      <c r="DE77" s="243"/>
      <c r="DF77" s="243"/>
      <c r="DG77" s="243"/>
      <c r="DH77" s="243"/>
      <c r="DI77" s="243"/>
      <c r="DJ77" s="243"/>
      <c r="DK77" s="243"/>
      <c r="DL77" s="243"/>
      <c r="DM77" s="243"/>
      <c r="DN77" s="243"/>
      <c r="DO77" s="243"/>
      <c r="DP77" s="243"/>
      <c r="DQ77" s="243"/>
      <c r="DR77" s="243"/>
      <c r="DS77" s="243"/>
      <c r="DT77" s="243"/>
      <c r="DU77" s="243"/>
      <c r="DV77" s="243"/>
      <c r="DW77" s="243"/>
      <c r="DX77" s="243"/>
      <c r="DY77" s="243"/>
      <c r="DZ77" s="243"/>
      <c r="EA77" s="243"/>
      <c r="EB77" s="243"/>
      <c r="EC77" s="243"/>
      <c r="ED77" s="243"/>
      <c r="EE77" s="243"/>
      <c r="EF77" s="243"/>
      <c r="EG77" s="243"/>
      <c r="EH77" s="243"/>
      <c r="EI77" s="243"/>
      <c r="EJ77" s="243"/>
      <c r="EK77" s="243"/>
      <c r="EL77" s="243"/>
      <c r="EM77" s="243"/>
      <c r="EN77" s="243"/>
      <c r="EO77" s="243"/>
      <c r="EP77" s="243"/>
      <c r="EQ77" s="243"/>
      <c r="ER77" s="243"/>
      <c r="ES77" s="243"/>
      <c r="ET77" s="243"/>
      <c r="EU77" s="243"/>
      <c r="EV77" s="243"/>
      <c r="EW77" s="243"/>
      <c r="EX77" s="243"/>
      <c r="EY77" s="243"/>
      <c r="EZ77" s="243"/>
      <c r="FA77" s="243"/>
      <c r="FB77" s="243"/>
      <c r="FC77" s="243"/>
      <c r="FD77" s="243"/>
      <c r="FE77" s="243"/>
      <c r="FF77" s="243"/>
      <c r="FG77" s="243"/>
      <c r="FH77" s="243"/>
      <c r="FI77" s="243"/>
      <c r="FJ77" s="243"/>
      <c r="FK77" s="243"/>
      <c r="FL77" s="243"/>
      <c r="FM77" s="243"/>
      <c r="FN77" s="243"/>
      <c r="FO77" s="243"/>
      <c r="FP77" s="243"/>
      <c r="FQ77" s="243"/>
      <c r="FR77" s="243"/>
      <c r="FS77" s="243"/>
      <c r="FT77" s="243"/>
      <c r="FU77" s="243"/>
      <c r="FV77" s="243"/>
      <c r="FW77" s="243"/>
      <c r="FX77" s="243"/>
      <c r="FY77" s="243"/>
      <c r="FZ77" s="243"/>
      <c r="GA77" s="243"/>
      <c r="GB77" s="243"/>
      <c r="GC77" s="243"/>
      <c r="GD77" s="243"/>
      <c r="GE77" s="243"/>
      <c r="GF77" s="243"/>
      <c r="GG77" s="243"/>
      <c r="GH77" s="243"/>
      <c r="GI77" s="243"/>
      <c r="GJ77" s="243"/>
      <c r="GK77" s="243"/>
      <c r="GL77" s="243"/>
      <c r="GM77" s="243"/>
      <c r="GN77" s="243"/>
      <c r="GO77" s="243"/>
      <c r="GP77" s="243"/>
      <c r="GQ77" s="243"/>
      <c r="GR77" s="243"/>
      <c r="GS77" s="243"/>
      <c r="GT77" s="243"/>
      <c r="GU77" s="243"/>
      <c r="GV77" s="243"/>
      <c r="GW77" s="243"/>
      <c r="GX77" s="243"/>
      <c r="GY77" s="243"/>
      <c r="GZ77" s="243"/>
      <c r="HA77" s="243"/>
      <c r="HB77" s="243"/>
      <c r="HC77" s="243"/>
      <c r="HD77" s="243"/>
      <c r="HE77" s="243"/>
      <c r="HF77" s="243"/>
      <c r="HG77" s="243"/>
      <c r="HH77" s="243"/>
      <c r="HI77" s="243"/>
      <c r="HJ77" s="243"/>
      <c r="HK77" s="243"/>
      <c r="HL77" s="243"/>
      <c r="HM77" s="243"/>
      <c r="HN77" s="243"/>
      <c r="HO77" s="243"/>
      <c r="HP77" s="243"/>
      <c r="HQ77" s="243"/>
      <c r="HR77" s="243"/>
      <c r="HS77" s="243"/>
      <c r="HT77" s="243"/>
      <c r="HU77" s="243"/>
      <c r="HV77" s="243"/>
      <c r="HW77" s="243"/>
      <c r="HX77" s="243"/>
      <c r="HY77" s="243"/>
      <c r="HZ77" s="243"/>
      <c r="IA77" s="243"/>
    </row>
    <row r="78" spans="1:235" s="244" customFormat="1" ht="29.1" customHeight="1" x14ac:dyDescent="0.25">
      <c r="A78" s="245">
        <v>1</v>
      </c>
      <c r="B78" s="145" t="s">
        <v>108</v>
      </c>
      <c r="C78" s="332" t="s">
        <v>325</v>
      </c>
      <c r="D78" s="370" t="s">
        <v>124</v>
      </c>
      <c r="E78" s="347">
        <v>15.3</v>
      </c>
      <c r="F78" s="111"/>
      <c r="G78" s="64"/>
      <c r="H78" s="65"/>
      <c r="I78" s="64"/>
      <c r="J78" s="64"/>
      <c r="K78" s="68"/>
      <c r="L78" s="112"/>
      <c r="M78" s="64"/>
      <c r="N78" s="64"/>
      <c r="O78" s="64"/>
      <c r="P78" s="68"/>
      <c r="Q78" s="69"/>
      <c r="R78" s="137"/>
      <c r="S78" s="69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  <c r="AH78" s="243"/>
      <c r="AI78" s="243"/>
      <c r="AJ78" s="243"/>
      <c r="AK78" s="243"/>
      <c r="AL78" s="243"/>
      <c r="AM78" s="243"/>
      <c r="AN78" s="243"/>
      <c r="AO78" s="243"/>
      <c r="AP78" s="243"/>
      <c r="AQ78" s="243"/>
      <c r="AR78" s="243"/>
      <c r="AS78" s="243"/>
      <c r="AT78" s="243"/>
      <c r="AU78" s="243"/>
      <c r="AV78" s="243"/>
      <c r="AW78" s="243"/>
      <c r="AX78" s="243"/>
      <c r="AY78" s="243"/>
      <c r="AZ78" s="243"/>
      <c r="BA78" s="243"/>
      <c r="BB78" s="243"/>
      <c r="BC78" s="243"/>
      <c r="BD78" s="243"/>
      <c r="BE78" s="243"/>
      <c r="BF78" s="243"/>
      <c r="BG78" s="243"/>
      <c r="BH78" s="243"/>
      <c r="BI78" s="243"/>
      <c r="BJ78" s="243"/>
      <c r="BK78" s="243"/>
      <c r="BL78" s="243"/>
      <c r="BM78" s="243"/>
      <c r="BN78" s="243"/>
      <c r="BO78" s="243"/>
      <c r="BP78" s="243"/>
      <c r="BQ78" s="243"/>
      <c r="BR78" s="243"/>
      <c r="BS78" s="243"/>
      <c r="BT78" s="243"/>
      <c r="BU78" s="243"/>
      <c r="BV78" s="243"/>
      <c r="BW78" s="243"/>
      <c r="BX78" s="243"/>
      <c r="BY78" s="243"/>
      <c r="BZ78" s="243"/>
      <c r="CA78" s="243"/>
      <c r="CB78" s="243"/>
      <c r="CC78" s="243"/>
      <c r="CD78" s="243"/>
      <c r="CE78" s="243"/>
      <c r="CF78" s="243"/>
      <c r="CG78" s="243"/>
      <c r="CH78" s="243"/>
      <c r="CI78" s="243"/>
      <c r="CJ78" s="243"/>
      <c r="CK78" s="243"/>
      <c r="CL78" s="243"/>
      <c r="CM78" s="243"/>
      <c r="CN78" s="243"/>
      <c r="CO78" s="243"/>
      <c r="CP78" s="243"/>
      <c r="CQ78" s="243"/>
      <c r="CR78" s="243"/>
      <c r="CS78" s="243"/>
      <c r="CT78" s="243"/>
      <c r="CU78" s="243"/>
      <c r="CV78" s="243"/>
      <c r="CW78" s="243"/>
      <c r="CX78" s="243"/>
      <c r="CY78" s="243"/>
      <c r="CZ78" s="243"/>
      <c r="DA78" s="243"/>
      <c r="DB78" s="243"/>
      <c r="DC78" s="243"/>
      <c r="DD78" s="243"/>
      <c r="DE78" s="243"/>
      <c r="DF78" s="243"/>
      <c r="DG78" s="243"/>
      <c r="DH78" s="243"/>
      <c r="DI78" s="243"/>
      <c r="DJ78" s="243"/>
      <c r="DK78" s="243"/>
      <c r="DL78" s="243"/>
      <c r="DM78" s="243"/>
      <c r="DN78" s="243"/>
      <c r="DO78" s="243"/>
      <c r="DP78" s="243"/>
      <c r="DQ78" s="243"/>
      <c r="DR78" s="243"/>
      <c r="DS78" s="243"/>
      <c r="DT78" s="243"/>
      <c r="DU78" s="243"/>
      <c r="DV78" s="243"/>
      <c r="DW78" s="243"/>
      <c r="DX78" s="243"/>
      <c r="DY78" s="243"/>
      <c r="DZ78" s="243"/>
      <c r="EA78" s="243"/>
      <c r="EB78" s="243"/>
      <c r="EC78" s="243"/>
      <c r="ED78" s="243"/>
      <c r="EE78" s="243"/>
      <c r="EF78" s="243"/>
      <c r="EG78" s="243"/>
      <c r="EH78" s="243"/>
      <c r="EI78" s="243"/>
      <c r="EJ78" s="243"/>
      <c r="EK78" s="243"/>
      <c r="EL78" s="243"/>
      <c r="EM78" s="243"/>
      <c r="EN78" s="243"/>
      <c r="EO78" s="243"/>
      <c r="EP78" s="243"/>
      <c r="EQ78" s="243"/>
      <c r="ER78" s="243"/>
      <c r="ES78" s="243"/>
      <c r="ET78" s="243"/>
      <c r="EU78" s="243"/>
      <c r="EV78" s="243"/>
      <c r="EW78" s="243"/>
      <c r="EX78" s="243"/>
      <c r="EY78" s="243"/>
      <c r="EZ78" s="243"/>
      <c r="FA78" s="243"/>
      <c r="FB78" s="243"/>
      <c r="FC78" s="243"/>
      <c r="FD78" s="243"/>
      <c r="FE78" s="243"/>
      <c r="FF78" s="243"/>
      <c r="FG78" s="243"/>
      <c r="FH78" s="243"/>
      <c r="FI78" s="243"/>
      <c r="FJ78" s="243"/>
      <c r="FK78" s="243"/>
      <c r="FL78" s="243"/>
      <c r="FM78" s="243"/>
      <c r="FN78" s="243"/>
      <c r="FO78" s="243"/>
      <c r="FP78" s="243"/>
      <c r="FQ78" s="243"/>
      <c r="FR78" s="243"/>
      <c r="FS78" s="243"/>
      <c r="FT78" s="243"/>
      <c r="FU78" s="243"/>
      <c r="FV78" s="243"/>
      <c r="FW78" s="243"/>
      <c r="FX78" s="243"/>
      <c r="FY78" s="243"/>
      <c r="FZ78" s="243"/>
      <c r="GA78" s="243"/>
      <c r="GB78" s="243"/>
      <c r="GC78" s="243"/>
      <c r="GD78" s="243"/>
      <c r="GE78" s="243"/>
      <c r="GF78" s="243"/>
      <c r="GG78" s="243"/>
      <c r="GH78" s="243"/>
      <c r="GI78" s="243"/>
      <c r="GJ78" s="243"/>
      <c r="GK78" s="243"/>
      <c r="GL78" s="243"/>
      <c r="GM78" s="243"/>
      <c r="GN78" s="243"/>
      <c r="GO78" s="243"/>
      <c r="GP78" s="243"/>
      <c r="GQ78" s="243"/>
      <c r="GR78" s="243"/>
      <c r="GS78" s="243"/>
      <c r="GT78" s="243"/>
      <c r="GU78" s="243"/>
      <c r="GV78" s="243"/>
      <c r="GW78" s="243"/>
      <c r="GX78" s="243"/>
      <c r="GY78" s="243"/>
      <c r="GZ78" s="243"/>
      <c r="HA78" s="243"/>
      <c r="HB78" s="243"/>
      <c r="HC78" s="243"/>
      <c r="HD78" s="243"/>
      <c r="HE78" s="243"/>
      <c r="HF78" s="243"/>
      <c r="HG78" s="243"/>
      <c r="HH78" s="243"/>
      <c r="HI78" s="243"/>
      <c r="HJ78" s="243"/>
      <c r="HK78" s="243"/>
      <c r="HL78" s="243"/>
      <c r="HM78" s="243"/>
      <c r="HN78" s="243"/>
      <c r="HO78" s="243"/>
      <c r="HP78" s="243"/>
      <c r="HQ78" s="243"/>
      <c r="HR78" s="243"/>
      <c r="HS78" s="243"/>
      <c r="HT78" s="243"/>
      <c r="HU78" s="243"/>
      <c r="HV78" s="243"/>
      <c r="HW78" s="243"/>
      <c r="HX78" s="243"/>
      <c r="HY78" s="243"/>
      <c r="HZ78" s="243"/>
      <c r="IA78" s="243"/>
    </row>
    <row r="79" spans="1:235" s="244" customFormat="1" ht="14.25" customHeight="1" x14ac:dyDescent="0.25">
      <c r="A79" s="245">
        <v>2</v>
      </c>
      <c r="B79" s="145"/>
      <c r="C79" s="348" t="s">
        <v>326</v>
      </c>
      <c r="D79" s="370" t="s">
        <v>124</v>
      </c>
      <c r="E79" s="347">
        <f>E78</f>
        <v>15.3</v>
      </c>
      <c r="F79" s="111"/>
      <c r="G79" s="64"/>
      <c r="H79" s="65"/>
      <c r="I79" s="64"/>
      <c r="J79" s="64"/>
      <c r="K79" s="68"/>
      <c r="L79" s="112"/>
      <c r="M79" s="64"/>
      <c r="N79" s="64"/>
      <c r="O79" s="64"/>
      <c r="P79" s="68"/>
      <c r="Q79" s="69"/>
      <c r="R79" s="137"/>
      <c r="S79" s="69"/>
      <c r="T79" s="243"/>
      <c r="U79" s="243"/>
      <c r="V79" s="243"/>
      <c r="W79" s="243"/>
      <c r="X79" s="243"/>
      <c r="Y79" s="243"/>
      <c r="Z79" s="243"/>
      <c r="AA79" s="243"/>
      <c r="AB79" s="243"/>
      <c r="AC79" s="243"/>
      <c r="AD79" s="243"/>
      <c r="AE79" s="243"/>
      <c r="AF79" s="243"/>
      <c r="AG79" s="243"/>
      <c r="AH79" s="243"/>
      <c r="AI79" s="243"/>
      <c r="AJ79" s="243"/>
      <c r="AK79" s="243"/>
      <c r="AL79" s="243"/>
      <c r="AM79" s="243"/>
      <c r="AN79" s="243"/>
      <c r="AO79" s="243"/>
      <c r="AP79" s="243"/>
      <c r="AQ79" s="243"/>
      <c r="AR79" s="243"/>
      <c r="AS79" s="243"/>
      <c r="AT79" s="243"/>
      <c r="AU79" s="243"/>
      <c r="AV79" s="243"/>
      <c r="AW79" s="243"/>
      <c r="AX79" s="243"/>
      <c r="AY79" s="243"/>
      <c r="AZ79" s="243"/>
      <c r="BA79" s="243"/>
      <c r="BB79" s="243"/>
      <c r="BC79" s="243"/>
      <c r="BD79" s="243"/>
      <c r="BE79" s="243"/>
      <c r="BF79" s="243"/>
      <c r="BG79" s="243"/>
      <c r="BH79" s="243"/>
      <c r="BI79" s="243"/>
      <c r="BJ79" s="243"/>
      <c r="BK79" s="243"/>
      <c r="BL79" s="243"/>
      <c r="BM79" s="243"/>
      <c r="BN79" s="243"/>
      <c r="BO79" s="243"/>
      <c r="BP79" s="243"/>
      <c r="BQ79" s="243"/>
      <c r="BR79" s="243"/>
      <c r="BS79" s="243"/>
      <c r="BT79" s="243"/>
      <c r="BU79" s="243"/>
      <c r="BV79" s="243"/>
      <c r="BW79" s="243"/>
      <c r="BX79" s="243"/>
      <c r="BY79" s="243"/>
      <c r="BZ79" s="243"/>
      <c r="CA79" s="243"/>
      <c r="CB79" s="243"/>
      <c r="CC79" s="243"/>
      <c r="CD79" s="243"/>
      <c r="CE79" s="243"/>
      <c r="CF79" s="243"/>
      <c r="CG79" s="243"/>
      <c r="CH79" s="243"/>
      <c r="CI79" s="243"/>
      <c r="CJ79" s="243"/>
      <c r="CK79" s="243"/>
      <c r="CL79" s="243"/>
      <c r="CM79" s="243"/>
      <c r="CN79" s="243"/>
      <c r="CO79" s="243"/>
      <c r="CP79" s="243"/>
      <c r="CQ79" s="243"/>
      <c r="CR79" s="243"/>
      <c r="CS79" s="243"/>
      <c r="CT79" s="243"/>
      <c r="CU79" s="243"/>
      <c r="CV79" s="243"/>
      <c r="CW79" s="243"/>
      <c r="CX79" s="243"/>
      <c r="CY79" s="243"/>
      <c r="CZ79" s="243"/>
      <c r="DA79" s="243"/>
      <c r="DB79" s="243"/>
      <c r="DC79" s="243"/>
      <c r="DD79" s="243"/>
      <c r="DE79" s="243"/>
      <c r="DF79" s="243"/>
      <c r="DG79" s="243"/>
      <c r="DH79" s="243"/>
      <c r="DI79" s="243"/>
      <c r="DJ79" s="243"/>
      <c r="DK79" s="243"/>
      <c r="DL79" s="243"/>
      <c r="DM79" s="243"/>
      <c r="DN79" s="243"/>
      <c r="DO79" s="243"/>
      <c r="DP79" s="243"/>
      <c r="DQ79" s="243"/>
      <c r="DR79" s="243"/>
      <c r="DS79" s="243"/>
      <c r="DT79" s="243"/>
      <c r="DU79" s="243"/>
      <c r="DV79" s="243"/>
      <c r="DW79" s="243"/>
      <c r="DX79" s="243"/>
      <c r="DY79" s="243"/>
      <c r="DZ79" s="243"/>
      <c r="EA79" s="243"/>
      <c r="EB79" s="243"/>
      <c r="EC79" s="243"/>
      <c r="ED79" s="243"/>
      <c r="EE79" s="243"/>
      <c r="EF79" s="243"/>
      <c r="EG79" s="243"/>
      <c r="EH79" s="243"/>
      <c r="EI79" s="243"/>
      <c r="EJ79" s="243"/>
      <c r="EK79" s="243"/>
      <c r="EL79" s="243"/>
      <c r="EM79" s="243"/>
      <c r="EN79" s="243"/>
      <c r="EO79" s="243"/>
      <c r="EP79" s="243"/>
      <c r="EQ79" s="243"/>
      <c r="ER79" s="243"/>
      <c r="ES79" s="243"/>
      <c r="ET79" s="243"/>
      <c r="EU79" s="243"/>
      <c r="EV79" s="243"/>
      <c r="EW79" s="243"/>
      <c r="EX79" s="243"/>
      <c r="EY79" s="243"/>
      <c r="EZ79" s="243"/>
      <c r="FA79" s="243"/>
      <c r="FB79" s="243"/>
      <c r="FC79" s="243"/>
      <c r="FD79" s="243"/>
      <c r="FE79" s="243"/>
      <c r="FF79" s="243"/>
      <c r="FG79" s="243"/>
      <c r="FH79" s="243"/>
      <c r="FI79" s="243"/>
      <c r="FJ79" s="243"/>
      <c r="FK79" s="243"/>
      <c r="FL79" s="243"/>
      <c r="FM79" s="243"/>
      <c r="FN79" s="243"/>
      <c r="FO79" s="243"/>
      <c r="FP79" s="243"/>
      <c r="FQ79" s="243"/>
      <c r="FR79" s="243"/>
      <c r="FS79" s="243"/>
      <c r="FT79" s="243"/>
      <c r="FU79" s="243"/>
      <c r="FV79" s="243"/>
      <c r="FW79" s="243"/>
      <c r="FX79" s="243"/>
      <c r="FY79" s="243"/>
      <c r="FZ79" s="243"/>
      <c r="GA79" s="243"/>
      <c r="GB79" s="243"/>
      <c r="GC79" s="243"/>
      <c r="GD79" s="243"/>
      <c r="GE79" s="243"/>
      <c r="GF79" s="243"/>
      <c r="GG79" s="243"/>
      <c r="GH79" s="243"/>
      <c r="GI79" s="243"/>
      <c r="GJ79" s="243"/>
      <c r="GK79" s="243"/>
      <c r="GL79" s="243"/>
      <c r="GM79" s="243"/>
      <c r="GN79" s="243"/>
      <c r="GO79" s="243"/>
      <c r="GP79" s="243"/>
      <c r="GQ79" s="243"/>
      <c r="GR79" s="243"/>
      <c r="GS79" s="243"/>
      <c r="GT79" s="243"/>
      <c r="GU79" s="243"/>
      <c r="GV79" s="243"/>
      <c r="GW79" s="243"/>
      <c r="GX79" s="243"/>
      <c r="GY79" s="243"/>
      <c r="GZ79" s="243"/>
      <c r="HA79" s="243"/>
      <c r="HB79" s="243"/>
      <c r="HC79" s="243"/>
      <c r="HD79" s="243"/>
      <c r="HE79" s="243"/>
      <c r="HF79" s="243"/>
      <c r="HG79" s="243"/>
      <c r="HH79" s="243"/>
      <c r="HI79" s="243"/>
      <c r="HJ79" s="243"/>
      <c r="HK79" s="243"/>
      <c r="HL79" s="243"/>
      <c r="HM79" s="243"/>
      <c r="HN79" s="243"/>
      <c r="HO79" s="243"/>
      <c r="HP79" s="243"/>
      <c r="HQ79" s="243"/>
      <c r="HR79" s="243"/>
      <c r="HS79" s="243"/>
      <c r="HT79" s="243"/>
      <c r="HU79" s="243"/>
      <c r="HV79" s="243"/>
      <c r="HW79" s="243"/>
      <c r="HX79" s="243"/>
      <c r="HY79" s="243"/>
      <c r="HZ79" s="243"/>
      <c r="IA79" s="243"/>
    </row>
    <row r="80" spans="1:235" s="244" customFormat="1" ht="14.25" customHeight="1" x14ac:dyDescent="0.25">
      <c r="A80" s="245">
        <v>3</v>
      </c>
      <c r="B80" s="113"/>
      <c r="C80" s="366" t="s">
        <v>327</v>
      </c>
      <c r="D80" s="364" t="s">
        <v>124</v>
      </c>
      <c r="E80" s="371">
        <f>E78*2*1.2</f>
        <v>36.72</v>
      </c>
      <c r="F80" s="111"/>
      <c r="G80" s="64"/>
      <c r="H80" s="65"/>
      <c r="I80" s="64"/>
      <c r="J80" s="64"/>
      <c r="K80" s="68"/>
      <c r="L80" s="112"/>
      <c r="M80" s="64"/>
      <c r="N80" s="64"/>
      <c r="O80" s="64"/>
      <c r="P80" s="68"/>
      <c r="Q80" s="69"/>
      <c r="R80" s="137"/>
      <c r="S80" s="69"/>
      <c r="T80" s="243"/>
      <c r="U80" s="243"/>
      <c r="V80" s="243"/>
      <c r="W80" s="243"/>
      <c r="X80" s="243"/>
      <c r="Y80" s="243"/>
      <c r="Z80" s="243"/>
      <c r="AA80" s="243"/>
      <c r="AB80" s="243"/>
      <c r="AC80" s="243"/>
      <c r="AD80" s="243"/>
      <c r="AE80" s="243"/>
      <c r="AF80" s="243"/>
      <c r="AG80" s="243"/>
      <c r="AH80" s="243"/>
      <c r="AI80" s="243"/>
      <c r="AJ80" s="243"/>
      <c r="AK80" s="243"/>
      <c r="AL80" s="243"/>
      <c r="AM80" s="243"/>
      <c r="AN80" s="243"/>
      <c r="AO80" s="243"/>
      <c r="AP80" s="243"/>
      <c r="AQ80" s="243"/>
      <c r="AR80" s="243"/>
      <c r="AS80" s="243"/>
      <c r="AT80" s="243"/>
      <c r="AU80" s="243"/>
      <c r="AV80" s="243"/>
      <c r="AW80" s="243"/>
      <c r="AX80" s="243"/>
      <c r="AY80" s="243"/>
      <c r="AZ80" s="243"/>
      <c r="BA80" s="243"/>
      <c r="BB80" s="243"/>
      <c r="BC80" s="243"/>
      <c r="BD80" s="243"/>
      <c r="BE80" s="243"/>
      <c r="BF80" s="243"/>
      <c r="BG80" s="243"/>
      <c r="BH80" s="243"/>
      <c r="BI80" s="243"/>
      <c r="BJ80" s="243"/>
      <c r="BK80" s="243"/>
      <c r="BL80" s="243"/>
      <c r="BM80" s="243"/>
      <c r="BN80" s="243"/>
      <c r="BO80" s="243"/>
      <c r="BP80" s="243"/>
      <c r="BQ80" s="243"/>
      <c r="BR80" s="243"/>
      <c r="BS80" s="243"/>
      <c r="BT80" s="243"/>
      <c r="BU80" s="243"/>
      <c r="BV80" s="243"/>
      <c r="BW80" s="243"/>
      <c r="BX80" s="243"/>
      <c r="BY80" s="243"/>
      <c r="BZ80" s="243"/>
      <c r="CA80" s="243"/>
      <c r="CB80" s="243"/>
      <c r="CC80" s="243"/>
      <c r="CD80" s="243"/>
      <c r="CE80" s="243"/>
      <c r="CF80" s="243"/>
      <c r="CG80" s="243"/>
      <c r="CH80" s="243"/>
      <c r="CI80" s="243"/>
      <c r="CJ80" s="243"/>
      <c r="CK80" s="243"/>
      <c r="CL80" s="243"/>
      <c r="CM80" s="243"/>
      <c r="CN80" s="243"/>
      <c r="CO80" s="243"/>
      <c r="CP80" s="243"/>
      <c r="CQ80" s="243"/>
      <c r="CR80" s="243"/>
      <c r="CS80" s="243"/>
      <c r="CT80" s="243"/>
      <c r="CU80" s="243"/>
      <c r="CV80" s="243"/>
      <c r="CW80" s="243"/>
      <c r="CX80" s="243"/>
      <c r="CY80" s="243"/>
      <c r="CZ80" s="243"/>
      <c r="DA80" s="243"/>
      <c r="DB80" s="243"/>
      <c r="DC80" s="243"/>
      <c r="DD80" s="243"/>
      <c r="DE80" s="243"/>
      <c r="DF80" s="243"/>
      <c r="DG80" s="243"/>
      <c r="DH80" s="243"/>
      <c r="DI80" s="243"/>
      <c r="DJ80" s="243"/>
      <c r="DK80" s="243"/>
      <c r="DL80" s="243"/>
      <c r="DM80" s="243"/>
      <c r="DN80" s="243"/>
      <c r="DO80" s="243"/>
      <c r="DP80" s="243"/>
      <c r="DQ80" s="243"/>
      <c r="DR80" s="243"/>
      <c r="DS80" s="243"/>
      <c r="DT80" s="243"/>
      <c r="DU80" s="243"/>
      <c r="DV80" s="243"/>
      <c r="DW80" s="243"/>
      <c r="DX80" s="243"/>
      <c r="DY80" s="243"/>
      <c r="DZ80" s="243"/>
      <c r="EA80" s="243"/>
      <c r="EB80" s="243"/>
      <c r="EC80" s="243"/>
      <c r="ED80" s="243"/>
      <c r="EE80" s="243"/>
      <c r="EF80" s="243"/>
      <c r="EG80" s="243"/>
      <c r="EH80" s="243"/>
      <c r="EI80" s="243"/>
      <c r="EJ80" s="243"/>
      <c r="EK80" s="243"/>
      <c r="EL80" s="243"/>
      <c r="EM80" s="243"/>
      <c r="EN80" s="243"/>
      <c r="EO80" s="243"/>
      <c r="EP80" s="243"/>
      <c r="EQ80" s="243"/>
      <c r="ER80" s="243"/>
      <c r="ES80" s="243"/>
      <c r="ET80" s="243"/>
      <c r="EU80" s="243"/>
      <c r="EV80" s="243"/>
      <c r="EW80" s="243"/>
      <c r="EX80" s="243"/>
      <c r="EY80" s="243"/>
      <c r="EZ80" s="243"/>
      <c r="FA80" s="243"/>
      <c r="FB80" s="243"/>
      <c r="FC80" s="243"/>
      <c r="FD80" s="243"/>
      <c r="FE80" s="243"/>
      <c r="FF80" s="243"/>
      <c r="FG80" s="243"/>
      <c r="FH80" s="243"/>
      <c r="FI80" s="243"/>
      <c r="FJ80" s="243"/>
      <c r="FK80" s="243"/>
      <c r="FL80" s="243"/>
      <c r="FM80" s="243"/>
      <c r="FN80" s="243"/>
      <c r="FO80" s="243"/>
      <c r="FP80" s="243"/>
      <c r="FQ80" s="243"/>
      <c r="FR80" s="243"/>
      <c r="FS80" s="243"/>
      <c r="FT80" s="243"/>
      <c r="FU80" s="243"/>
      <c r="FV80" s="243"/>
      <c r="FW80" s="243"/>
      <c r="FX80" s="243"/>
      <c r="FY80" s="243"/>
      <c r="FZ80" s="243"/>
      <c r="GA80" s="243"/>
      <c r="GB80" s="243"/>
      <c r="GC80" s="243"/>
      <c r="GD80" s="243"/>
      <c r="GE80" s="243"/>
      <c r="GF80" s="243"/>
      <c r="GG80" s="243"/>
      <c r="GH80" s="243"/>
      <c r="GI80" s="243"/>
      <c r="GJ80" s="243"/>
      <c r="GK80" s="243"/>
      <c r="GL80" s="243"/>
      <c r="GM80" s="243"/>
      <c r="GN80" s="243"/>
      <c r="GO80" s="243"/>
      <c r="GP80" s="243"/>
      <c r="GQ80" s="243"/>
      <c r="GR80" s="243"/>
      <c r="GS80" s="243"/>
      <c r="GT80" s="243"/>
      <c r="GU80" s="243"/>
      <c r="GV80" s="243"/>
      <c r="GW80" s="243"/>
      <c r="GX80" s="243"/>
      <c r="GY80" s="243"/>
      <c r="GZ80" s="243"/>
      <c r="HA80" s="243"/>
      <c r="HB80" s="243"/>
      <c r="HC80" s="243"/>
      <c r="HD80" s="243"/>
      <c r="HE80" s="243"/>
      <c r="HF80" s="243"/>
      <c r="HG80" s="243"/>
      <c r="HH80" s="243"/>
      <c r="HI80" s="243"/>
      <c r="HJ80" s="243"/>
      <c r="HK80" s="243"/>
      <c r="HL80" s="243"/>
      <c r="HM80" s="243"/>
      <c r="HN80" s="243"/>
      <c r="HO80" s="243"/>
      <c r="HP80" s="243"/>
      <c r="HQ80" s="243"/>
      <c r="HR80" s="243"/>
      <c r="HS80" s="243"/>
      <c r="HT80" s="243"/>
      <c r="HU80" s="243"/>
      <c r="HV80" s="243"/>
      <c r="HW80" s="243"/>
      <c r="HX80" s="243"/>
      <c r="HY80" s="243"/>
      <c r="HZ80" s="243"/>
      <c r="IA80" s="243"/>
    </row>
    <row r="81" spans="1:235" s="244" customFormat="1" ht="14.25" customHeight="1" x14ac:dyDescent="0.25">
      <c r="A81" s="245">
        <v>4</v>
      </c>
      <c r="B81" s="145"/>
      <c r="C81" s="348" t="s">
        <v>194</v>
      </c>
      <c r="D81" s="370" t="s">
        <v>124</v>
      </c>
      <c r="E81" s="347">
        <f>E78</f>
        <v>15.3</v>
      </c>
      <c r="F81" s="111"/>
      <c r="G81" s="64"/>
      <c r="H81" s="65"/>
      <c r="I81" s="64"/>
      <c r="J81" s="64"/>
      <c r="K81" s="68"/>
      <c r="L81" s="112"/>
      <c r="M81" s="64"/>
      <c r="N81" s="64"/>
      <c r="O81" s="64"/>
      <c r="P81" s="68"/>
      <c r="Q81" s="69"/>
      <c r="R81" s="137"/>
      <c r="S81" s="69"/>
      <c r="T81" s="243"/>
      <c r="U81" s="243"/>
      <c r="V81" s="243"/>
      <c r="W81" s="243"/>
      <c r="X81" s="243"/>
      <c r="Y81" s="243"/>
      <c r="Z81" s="243"/>
      <c r="AA81" s="243"/>
      <c r="AB81" s="243"/>
      <c r="AC81" s="243"/>
      <c r="AD81" s="243"/>
      <c r="AE81" s="243"/>
      <c r="AF81" s="243"/>
      <c r="AG81" s="243"/>
      <c r="AH81" s="243"/>
      <c r="AI81" s="243"/>
      <c r="AJ81" s="243"/>
      <c r="AK81" s="243"/>
      <c r="AL81" s="243"/>
      <c r="AM81" s="243"/>
      <c r="AN81" s="243"/>
      <c r="AO81" s="243"/>
      <c r="AP81" s="243"/>
      <c r="AQ81" s="243"/>
      <c r="AR81" s="243"/>
      <c r="AS81" s="243"/>
      <c r="AT81" s="243"/>
      <c r="AU81" s="243"/>
      <c r="AV81" s="243"/>
      <c r="AW81" s="243"/>
      <c r="AX81" s="243"/>
      <c r="AY81" s="243"/>
      <c r="AZ81" s="243"/>
      <c r="BA81" s="243"/>
      <c r="BB81" s="243"/>
      <c r="BC81" s="243"/>
      <c r="BD81" s="243"/>
      <c r="BE81" s="243"/>
      <c r="BF81" s="243"/>
      <c r="BG81" s="243"/>
      <c r="BH81" s="243"/>
      <c r="BI81" s="243"/>
      <c r="BJ81" s="243"/>
      <c r="BK81" s="243"/>
      <c r="BL81" s="243"/>
      <c r="BM81" s="243"/>
      <c r="BN81" s="243"/>
      <c r="BO81" s="243"/>
      <c r="BP81" s="243"/>
      <c r="BQ81" s="243"/>
      <c r="BR81" s="243"/>
      <c r="BS81" s="243"/>
      <c r="BT81" s="243"/>
      <c r="BU81" s="243"/>
      <c r="BV81" s="243"/>
      <c r="BW81" s="243"/>
      <c r="BX81" s="243"/>
      <c r="BY81" s="243"/>
      <c r="BZ81" s="243"/>
      <c r="CA81" s="243"/>
      <c r="CB81" s="243"/>
      <c r="CC81" s="243"/>
      <c r="CD81" s="243"/>
      <c r="CE81" s="243"/>
      <c r="CF81" s="243"/>
      <c r="CG81" s="243"/>
      <c r="CH81" s="243"/>
      <c r="CI81" s="243"/>
      <c r="CJ81" s="243"/>
      <c r="CK81" s="243"/>
      <c r="CL81" s="243"/>
      <c r="CM81" s="243"/>
      <c r="CN81" s="243"/>
      <c r="CO81" s="243"/>
      <c r="CP81" s="243"/>
      <c r="CQ81" s="243"/>
      <c r="CR81" s="243"/>
      <c r="CS81" s="243"/>
      <c r="CT81" s="243"/>
      <c r="CU81" s="243"/>
      <c r="CV81" s="243"/>
      <c r="CW81" s="243"/>
      <c r="CX81" s="243"/>
      <c r="CY81" s="243"/>
      <c r="CZ81" s="243"/>
      <c r="DA81" s="243"/>
      <c r="DB81" s="243"/>
      <c r="DC81" s="243"/>
      <c r="DD81" s="243"/>
      <c r="DE81" s="243"/>
      <c r="DF81" s="243"/>
      <c r="DG81" s="243"/>
      <c r="DH81" s="243"/>
      <c r="DI81" s="243"/>
      <c r="DJ81" s="243"/>
      <c r="DK81" s="243"/>
      <c r="DL81" s="243"/>
      <c r="DM81" s="243"/>
      <c r="DN81" s="243"/>
      <c r="DO81" s="243"/>
      <c r="DP81" s="243"/>
      <c r="DQ81" s="243"/>
      <c r="DR81" s="243"/>
      <c r="DS81" s="243"/>
      <c r="DT81" s="243"/>
      <c r="DU81" s="243"/>
      <c r="DV81" s="243"/>
      <c r="DW81" s="243"/>
      <c r="DX81" s="243"/>
      <c r="DY81" s="243"/>
      <c r="DZ81" s="243"/>
      <c r="EA81" s="243"/>
      <c r="EB81" s="243"/>
      <c r="EC81" s="243"/>
      <c r="ED81" s="243"/>
      <c r="EE81" s="243"/>
      <c r="EF81" s="243"/>
      <c r="EG81" s="243"/>
      <c r="EH81" s="243"/>
      <c r="EI81" s="243"/>
      <c r="EJ81" s="243"/>
      <c r="EK81" s="243"/>
      <c r="EL81" s="243"/>
      <c r="EM81" s="243"/>
      <c r="EN81" s="243"/>
      <c r="EO81" s="243"/>
      <c r="EP81" s="243"/>
      <c r="EQ81" s="243"/>
      <c r="ER81" s="243"/>
      <c r="ES81" s="243"/>
      <c r="ET81" s="243"/>
      <c r="EU81" s="243"/>
      <c r="EV81" s="243"/>
      <c r="EW81" s="243"/>
      <c r="EX81" s="243"/>
      <c r="EY81" s="243"/>
      <c r="EZ81" s="243"/>
      <c r="FA81" s="243"/>
      <c r="FB81" s="243"/>
      <c r="FC81" s="243"/>
      <c r="FD81" s="243"/>
      <c r="FE81" s="243"/>
      <c r="FF81" s="243"/>
      <c r="FG81" s="243"/>
      <c r="FH81" s="243"/>
      <c r="FI81" s="243"/>
      <c r="FJ81" s="243"/>
      <c r="FK81" s="243"/>
      <c r="FL81" s="243"/>
      <c r="FM81" s="243"/>
      <c r="FN81" s="243"/>
      <c r="FO81" s="243"/>
      <c r="FP81" s="243"/>
      <c r="FQ81" s="243"/>
      <c r="FR81" s="243"/>
      <c r="FS81" s="243"/>
      <c r="FT81" s="243"/>
      <c r="FU81" s="243"/>
      <c r="FV81" s="243"/>
      <c r="FW81" s="243"/>
      <c r="FX81" s="243"/>
      <c r="FY81" s="243"/>
      <c r="FZ81" s="243"/>
      <c r="GA81" s="243"/>
      <c r="GB81" s="243"/>
      <c r="GC81" s="243"/>
      <c r="GD81" s="243"/>
      <c r="GE81" s="243"/>
      <c r="GF81" s="243"/>
      <c r="GG81" s="243"/>
      <c r="GH81" s="243"/>
      <c r="GI81" s="243"/>
      <c r="GJ81" s="243"/>
      <c r="GK81" s="243"/>
      <c r="GL81" s="243"/>
      <c r="GM81" s="243"/>
      <c r="GN81" s="243"/>
      <c r="GO81" s="243"/>
      <c r="GP81" s="243"/>
      <c r="GQ81" s="243"/>
      <c r="GR81" s="243"/>
      <c r="GS81" s="243"/>
      <c r="GT81" s="243"/>
      <c r="GU81" s="243"/>
      <c r="GV81" s="243"/>
      <c r="GW81" s="243"/>
      <c r="GX81" s="243"/>
      <c r="GY81" s="243"/>
      <c r="GZ81" s="243"/>
      <c r="HA81" s="243"/>
      <c r="HB81" s="243"/>
      <c r="HC81" s="243"/>
      <c r="HD81" s="243"/>
      <c r="HE81" s="243"/>
      <c r="HF81" s="243"/>
      <c r="HG81" s="243"/>
      <c r="HH81" s="243"/>
      <c r="HI81" s="243"/>
      <c r="HJ81" s="243"/>
      <c r="HK81" s="243"/>
      <c r="HL81" s="243"/>
      <c r="HM81" s="243"/>
      <c r="HN81" s="243"/>
      <c r="HO81" s="243"/>
      <c r="HP81" s="243"/>
      <c r="HQ81" s="243"/>
      <c r="HR81" s="243"/>
      <c r="HS81" s="243"/>
      <c r="HT81" s="243"/>
      <c r="HU81" s="243"/>
      <c r="HV81" s="243"/>
      <c r="HW81" s="243"/>
      <c r="HX81" s="243"/>
      <c r="HY81" s="243"/>
      <c r="HZ81" s="243"/>
      <c r="IA81" s="243"/>
    </row>
    <row r="82" spans="1:235" s="244" customFormat="1" ht="14.25" customHeight="1" x14ac:dyDescent="0.25">
      <c r="A82" s="245">
        <v>5</v>
      </c>
      <c r="B82" s="242" t="s">
        <v>108</v>
      </c>
      <c r="C82" s="363" t="s">
        <v>328</v>
      </c>
      <c r="D82" s="364" t="s">
        <v>124</v>
      </c>
      <c r="E82" s="365">
        <f>E78</f>
        <v>15.3</v>
      </c>
      <c r="F82" s="63"/>
      <c r="G82" s="64"/>
      <c r="H82" s="65"/>
      <c r="I82" s="64"/>
      <c r="J82" s="64"/>
      <c r="K82" s="66"/>
      <c r="L82" s="67"/>
      <c r="M82" s="64"/>
      <c r="N82" s="64"/>
      <c r="O82" s="64"/>
      <c r="P82" s="68"/>
      <c r="Q82" s="69"/>
      <c r="R82" s="137"/>
      <c r="S82" s="69"/>
      <c r="T82" s="243"/>
      <c r="U82" s="243"/>
      <c r="V82" s="243"/>
      <c r="W82" s="243"/>
      <c r="X82" s="243"/>
      <c r="Y82" s="243"/>
      <c r="Z82" s="243"/>
      <c r="AA82" s="243"/>
      <c r="AB82" s="243"/>
      <c r="AC82" s="243"/>
      <c r="AD82" s="243"/>
      <c r="AE82" s="243"/>
      <c r="AF82" s="243"/>
      <c r="AG82" s="243"/>
      <c r="AH82" s="243"/>
      <c r="AI82" s="243"/>
      <c r="AJ82" s="243"/>
      <c r="AK82" s="243"/>
      <c r="AL82" s="243"/>
      <c r="AM82" s="243"/>
      <c r="AN82" s="243"/>
      <c r="AO82" s="243"/>
      <c r="AP82" s="243"/>
      <c r="AQ82" s="243"/>
      <c r="AR82" s="243"/>
      <c r="AS82" s="243"/>
      <c r="AT82" s="243"/>
      <c r="AU82" s="243"/>
      <c r="AV82" s="243"/>
      <c r="AW82" s="243"/>
      <c r="AX82" s="243"/>
      <c r="AY82" s="243"/>
      <c r="AZ82" s="243"/>
      <c r="BA82" s="243"/>
      <c r="BB82" s="243"/>
      <c r="BC82" s="243"/>
      <c r="BD82" s="243"/>
      <c r="BE82" s="243"/>
      <c r="BF82" s="243"/>
      <c r="BG82" s="243"/>
      <c r="BH82" s="243"/>
      <c r="BI82" s="243"/>
      <c r="BJ82" s="243"/>
      <c r="BK82" s="243"/>
      <c r="BL82" s="243"/>
      <c r="BM82" s="243"/>
      <c r="BN82" s="243"/>
      <c r="BO82" s="243"/>
      <c r="BP82" s="243"/>
      <c r="BQ82" s="243"/>
      <c r="BR82" s="243"/>
      <c r="BS82" s="243"/>
      <c r="BT82" s="243"/>
      <c r="BU82" s="243"/>
      <c r="BV82" s="243"/>
      <c r="BW82" s="243"/>
      <c r="BX82" s="243"/>
      <c r="BY82" s="243"/>
      <c r="BZ82" s="243"/>
      <c r="CA82" s="243"/>
      <c r="CB82" s="243"/>
      <c r="CC82" s="243"/>
      <c r="CD82" s="243"/>
      <c r="CE82" s="243"/>
      <c r="CF82" s="243"/>
      <c r="CG82" s="243"/>
      <c r="CH82" s="243"/>
      <c r="CI82" s="243"/>
      <c r="CJ82" s="243"/>
      <c r="CK82" s="243"/>
      <c r="CL82" s="243"/>
      <c r="CM82" s="243"/>
      <c r="CN82" s="243"/>
      <c r="CO82" s="243"/>
      <c r="CP82" s="243"/>
      <c r="CQ82" s="243"/>
      <c r="CR82" s="243"/>
      <c r="CS82" s="243"/>
      <c r="CT82" s="243"/>
      <c r="CU82" s="243"/>
      <c r="CV82" s="243"/>
      <c r="CW82" s="243"/>
      <c r="CX82" s="243"/>
      <c r="CY82" s="243"/>
      <c r="CZ82" s="243"/>
      <c r="DA82" s="243"/>
      <c r="DB82" s="243"/>
      <c r="DC82" s="243"/>
      <c r="DD82" s="243"/>
      <c r="DE82" s="243"/>
      <c r="DF82" s="243"/>
      <c r="DG82" s="243"/>
      <c r="DH82" s="243"/>
      <c r="DI82" s="243"/>
      <c r="DJ82" s="243"/>
      <c r="DK82" s="243"/>
      <c r="DL82" s="243"/>
      <c r="DM82" s="243"/>
      <c r="DN82" s="243"/>
      <c r="DO82" s="243"/>
      <c r="DP82" s="243"/>
      <c r="DQ82" s="243"/>
      <c r="DR82" s="243"/>
      <c r="DS82" s="243"/>
      <c r="DT82" s="243"/>
      <c r="DU82" s="243"/>
      <c r="DV82" s="243"/>
      <c r="DW82" s="243"/>
      <c r="DX82" s="243"/>
      <c r="DY82" s="243"/>
      <c r="DZ82" s="243"/>
      <c r="EA82" s="243"/>
      <c r="EB82" s="243"/>
      <c r="EC82" s="243"/>
      <c r="ED82" s="243"/>
      <c r="EE82" s="243"/>
      <c r="EF82" s="243"/>
      <c r="EG82" s="243"/>
      <c r="EH82" s="243"/>
      <c r="EI82" s="243"/>
      <c r="EJ82" s="243"/>
      <c r="EK82" s="243"/>
      <c r="EL82" s="243"/>
      <c r="EM82" s="243"/>
      <c r="EN82" s="243"/>
      <c r="EO82" s="243"/>
      <c r="EP82" s="243"/>
      <c r="EQ82" s="243"/>
      <c r="ER82" s="243"/>
      <c r="ES82" s="243"/>
      <c r="ET82" s="243"/>
      <c r="EU82" s="243"/>
      <c r="EV82" s="243"/>
      <c r="EW82" s="243"/>
      <c r="EX82" s="243"/>
      <c r="EY82" s="243"/>
      <c r="EZ82" s="243"/>
      <c r="FA82" s="243"/>
      <c r="FB82" s="243"/>
      <c r="FC82" s="243"/>
      <c r="FD82" s="243"/>
      <c r="FE82" s="243"/>
      <c r="FF82" s="243"/>
      <c r="FG82" s="243"/>
      <c r="FH82" s="243"/>
      <c r="FI82" s="243"/>
      <c r="FJ82" s="243"/>
      <c r="FK82" s="243"/>
      <c r="FL82" s="243"/>
      <c r="FM82" s="243"/>
      <c r="FN82" s="243"/>
      <c r="FO82" s="243"/>
      <c r="FP82" s="243"/>
      <c r="FQ82" s="243"/>
      <c r="FR82" s="243"/>
      <c r="FS82" s="243"/>
      <c r="FT82" s="243"/>
      <c r="FU82" s="243"/>
      <c r="FV82" s="243"/>
      <c r="FW82" s="243"/>
      <c r="FX82" s="243"/>
      <c r="FY82" s="243"/>
      <c r="FZ82" s="243"/>
      <c r="GA82" s="243"/>
      <c r="GB82" s="243"/>
      <c r="GC82" s="243"/>
      <c r="GD82" s="243"/>
      <c r="GE82" s="243"/>
      <c r="GF82" s="243"/>
      <c r="GG82" s="243"/>
      <c r="GH82" s="243"/>
      <c r="GI82" s="243"/>
      <c r="GJ82" s="243"/>
      <c r="GK82" s="243"/>
      <c r="GL82" s="243"/>
      <c r="GM82" s="243"/>
      <c r="GN82" s="243"/>
      <c r="GO82" s="243"/>
      <c r="GP82" s="243"/>
      <c r="GQ82" s="243"/>
      <c r="GR82" s="243"/>
      <c r="GS82" s="243"/>
      <c r="GT82" s="243"/>
      <c r="GU82" s="243"/>
      <c r="GV82" s="243"/>
      <c r="GW82" s="243"/>
      <c r="GX82" s="243"/>
      <c r="GY82" s="243"/>
      <c r="GZ82" s="243"/>
      <c r="HA82" s="243"/>
      <c r="HB82" s="243"/>
      <c r="HC82" s="243"/>
      <c r="HD82" s="243"/>
      <c r="HE82" s="243"/>
      <c r="HF82" s="243"/>
      <c r="HG82" s="243"/>
      <c r="HH82" s="243"/>
      <c r="HI82" s="243"/>
      <c r="HJ82" s="243"/>
      <c r="HK82" s="243"/>
      <c r="HL82" s="243"/>
      <c r="HM82" s="243"/>
      <c r="HN82" s="243"/>
      <c r="HO82" s="243"/>
      <c r="HP82" s="243"/>
      <c r="HQ82" s="243"/>
      <c r="HR82" s="243"/>
      <c r="HS82" s="243"/>
      <c r="HT82" s="243"/>
      <c r="HU82" s="243"/>
      <c r="HV82" s="243"/>
      <c r="HW82" s="243"/>
      <c r="HX82" s="243"/>
      <c r="HY82" s="243"/>
      <c r="HZ82" s="243"/>
      <c r="IA82" s="243"/>
    </row>
    <row r="83" spans="1:235" s="244" customFormat="1" ht="14.25" customHeight="1" x14ac:dyDescent="0.25">
      <c r="A83" s="245">
        <v>6</v>
      </c>
      <c r="B83" s="242"/>
      <c r="C83" s="366" t="s">
        <v>176</v>
      </c>
      <c r="D83" s="364" t="s">
        <v>177</v>
      </c>
      <c r="E83" s="365">
        <f>E82*0.17*1.1</f>
        <v>2.8611000000000009</v>
      </c>
      <c r="F83" s="63"/>
      <c r="G83" s="64"/>
      <c r="H83" s="65"/>
      <c r="I83" s="64"/>
      <c r="J83" s="64"/>
      <c r="K83" s="66"/>
      <c r="L83" s="67"/>
      <c r="M83" s="64"/>
      <c r="N83" s="64"/>
      <c r="O83" s="64"/>
      <c r="P83" s="68"/>
      <c r="Q83" s="69"/>
      <c r="R83" s="137"/>
      <c r="S83" s="69"/>
      <c r="T83" s="243"/>
      <c r="U83" s="243"/>
      <c r="V83" s="243"/>
      <c r="W83" s="243"/>
      <c r="X83" s="243"/>
      <c r="Y83" s="243"/>
      <c r="Z83" s="243"/>
      <c r="AA83" s="243"/>
      <c r="AB83" s="243"/>
      <c r="AC83" s="243"/>
      <c r="AD83" s="243"/>
      <c r="AE83" s="243"/>
      <c r="AF83" s="243"/>
      <c r="AG83" s="243"/>
      <c r="AH83" s="243"/>
      <c r="AI83" s="243"/>
      <c r="AJ83" s="243"/>
      <c r="AK83" s="243"/>
      <c r="AL83" s="243"/>
      <c r="AM83" s="243"/>
      <c r="AN83" s="243"/>
      <c r="AO83" s="243"/>
      <c r="AP83" s="243"/>
      <c r="AQ83" s="243"/>
      <c r="AR83" s="243"/>
      <c r="AS83" s="243"/>
      <c r="AT83" s="243"/>
      <c r="AU83" s="243"/>
      <c r="AV83" s="243"/>
      <c r="AW83" s="243"/>
      <c r="AX83" s="243"/>
      <c r="AY83" s="243"/>
      <c r="AZ83" s="243"/>
      <c r="BA83" s="243"/>
      <c r="BB83" s="243"/>
      <c r="BC83" s="243"/>
      <c r="BD83" s="243"/>
      <c r="BE83" s="243"/>
      <c r="BF83" s="243"/>
      <c r="BG83" s="243"/>
      <c r="BH83" s="243"/>
      <c r="BI83" s="243"/>
      <c r="BJ83" s="243"/>
      <c r="BK83" s="243"/>
      <c r="BL83" s="243"/>
      <c r="BM83" s="243"/>
      <c r="BN83" s="243"/>
      <c r="BO83" s="243"/>
      <c r="BP83" s="243"/>
      <c r="BQ83" s="243"/>
      <c r="BR83" s="243"/>
      <c r="BS83" s="243"/>
      <c r="BT83" s="243"/>
      <c r="BU83" s="243"/>
      <c r="BV83" s="243"/>
      <c r="BW83" s="243"/>
      <c r="BX83" s="243"/>
      <c r="BY83" s="243"/>
      <c r="BZ83" s="243"/>
      <c r="CA83" s="243"/>
      <c r="CB83" s="243"/>
      <c r="CC83" s="243"/>
      <c r="CD83" s="243"/>
      <c r="CE83" s="243"/>
      <c r="CF83" s="243"/>
      <c r="CG83" s="243"/>
      <c r="CH83" s="243"/>
      <c r="CI83" s="243"/>
      <c r="CJ83" s="243"/>
      <c r="CK83" s="243"/>
      <c r="CL83" s="243"/>
      <c r="CM83" s="243"/>
      <c r="CN83" s="243"/>
      <c r="CO83" s="243"/>
      <c r="CP83" s="243"/>
      <c r="CQ83" s="243"/>
      <c r="CR83" s="243"/>
      <c r="CS83" s="243"/>
      <c r="CT83" s="243"/>
      <c r="CU83" s="243"/>
      <c r="CV83" s="243"/>
      <c r="CW83" s="243"/>
      <c r="CX83" s="243"/>
      <c r="CY83" s="243"/>
      <c r="CZ83" s="243"/>
      <c r="DA83" s="243"/>
      <c r="DB83" s="243"/>
      <c r="DC83" s="243"/>
      <c r="DD83" s="243"/>
      <c r="DE83" s="243"/>
      <c r="DF83" s="243"/>
      <c r="DG83" s="243"/>
      <c r="DH83" s="243"/>
      <c r="DI83" s="243"/>
      <c r="DJ83" s="243"/>
      <c r="DK83" s="243"/>
      <c r="DL83" s="243"/>
      <c r="DM83" s="243"/>
      <c r="DN83" s="243"/>
      <c r="DO83" s="243"/>
      <c r="DP83" s="243"/>
      <c r="DQ83" s="243"/>
      <c r="DR83" s="243"/>
      <c r="DS83" s="243"/>
      <c r="DT83" s="243"/>
      <c r="DU83" s="243"/>
      <c r="DV83" s="243"/>
      <c r="DW83" s="243"/>
      <c r="DX83" s="243"/>
      <c r="DY83" s="243"/>
      <c r="DZ83" s="243"/>
      <c r="EA83" s="243"/>
      <c r="EB83" s="243"/>
      <c r="EC83" s="243"/>
      <c r="ED83" s="243"/>
      <c r="EE83" s="243"/>
      <c r="EF83" s="243"/>
      <c r="EG83" s="243"/>
      <c r="EH83" s="243"/>
      <c r="EI83" s="243"/>
      <c r="EJ83" s="243"/>
      <c r="EK83" s="243"/>
      <c r="EL83" s="243"/>
      <c r="EM83" s="243"/>
      <c r="EN83" s="243"/>
      <c r="EO83" s="243"/>
      <c r="EP83" s="243"/>
      <c r="EQ83" s="243"/>
      <c r="ER83" s="243"/>
      <c r="ES83" s="243"/>
      <c r="ET83" s="243"/>
      <c r="EU83" s="243"/>
      <c r="EV83" s="243"/>
      <c r="EW83" s="243"/>
      <c r="EX83" s="243"/>
      <c r="EY83" s="243"/>
      <c r="EZ83" s="243"/>
      <c r="FA83" s="243"/>
      <c r="FB83" s="243"/>
      <c r="FC83" s="243"/>
      <c r="FD83" s="243"/>
      <c r="FE83" s="243"/>
      <c r="FF83" s="243"/>
      <c r="FG83" s="243"/>
      <c r="FH83" s="243"/>
      <c r="FI83" s="243"/>
      <c r="FJ83" s="243"/>
      <c r="FK83" s="243"/>
      <c r="FL83" s="243"/>
      <c r="FM83" s="243"/>
      <c r="FN83" s="243"/>
      <c r="FO83" s="243"/>
      <c r="FP83" s="243"/>
      <c r="FQ83" s="243"/>
      <c r="FR83" s="243"/>
      <c r="FS83" s="243"/>
      <c r="FT83" s="243"/>
      <c r="FU83" s="243"/>
      <c r="FV83" s="243"/>
      <c r="FW83" s="243"/>
      <c r="FX83" s="243"/>
      <c r="FY83" s="243"/>
      <c r="FZ83" s="243"/>
      <c r="GA83" s="243"/>
      <c r="GB83" s="243"/>
      <c r="GC83" s="243"/>
      <c r="GD83" s="243"/>
      <c r="GE83" s="243"/>
      <c r="GF83" s="243"/>
      <c r="GG83" s="243"/>
      <c r="GH83" s="243"/>
      <c r="GI83" s="243"/>
      <c r="GJ83" s="243"/>
      <c r="GK83" s="243"/>
      <c r="GL83" s="243"/>
      <c r="GM83" s="243"/>
      <c r="GN83" s="243"/>
      <c r="GO83" s="243"/>
      <c r="GP83" s="243"/>
      <c r="GQ83" s="243"/>
      <c r="GR83" s="243"/>
      <c r="GS83" s="243"/>
      <c r="GT83" s="243"/>
      <c r="GU83" s="243"/>
      <c r="GV83" s="243"/>
      <c r="GW83" s="243"/>
      <c r="GX83" s="243"/>
      <c r="GY83" s="243"/>
      <c r="GZ83" s="243"/>
      <c r="HA83" s="243"/>
      <c r="HB83" s="243"/>
      <c r="HC83" s="243"/>
      <c r="HD83" s="243"/>
      <c r="HE83" s="243"/>
      <c r="HF83" s="243"/>
      <c r="HG83" s="243"/>
      <c r="HH83" s="243"/>
      <c r="HI83" s="243"/>
      <c r="HJ83" s="243"/>
      <c r="HK83" s="243"/>
      <c r="HL83" s="243"/>
      <c r="HM83" s="243"/>
      <c r="HN83" s="243"/>
      <c r="HO83" s="243"/>
      <c r="HP83" s="243"/>
      <c r="HQ83" s="243"/>
      <c r="HR83" s="243"/>
      <c r="HS83" s="243"/>
      <c r="HT83" s="243"/>
      <c r="HU83" s="243"/>
      <c r="HV83" s="243"/>
      <c r="HW83" s="243"/>
      <c r="HX83" s="243"/>
      <c r="HY83" s="243"/>
      <c r="HZ83" s="243"/>
      <c r="IA83" s="243"/>
    </row>
    <row r="84" spans="1:235" s="244" customFormat="1" ht="14.25" customHeight="1" x14ac:dyDescent="0.25">
      <c r="A84" s="245">
        <v>7</v>
      </c>
      <c r="B84" s="242"/>
      <c r="C84" s="366" t="s">
        <v>319</v>
      </c>
      <c r="D84" s="364" t="s">
        <v>180</v>
      </c>
      <c r="E84" s="365">
        <f>E82*1.5*1.2</f>
        <v>27.540000000000003</v>
      </c>
      <c r="F84" s="63"/>
      <c r="G84" s="64"/>
      <c r="H84" s="65"/>
      <c r="I84" s="64"/>
      <c r="J84" s="64"/>
      <c r="K84" s="66"/>
      <c r="L84" s="67"/>
      <c r="M84" s="64"/>
      <c r="N84" s="64"/>
      <c r="O84" s="64"/>
      <c r="P84" s="68"/>
      <c r="Q84" s="69"/>
      <c r="R84" s="137"/>
      <c r="S84" s="69"/>
      <c r="T84" s="243"/>
      <c r="U84" s="243"/>
      <c r="V84" s="243"/>
      <c r="W84" s="243"/>
      <c r="X84" s="243"/>
      <c r="Y84" s="243"/>
      <c r="Z84" s="243"/>
      <c r="AA84" s="243"/>
      <c r="AB84" s="243"/>
      <c r="AC84" s="243"/>
      <c r="AD84" s="243"/>
      <c r="AE84" s="243"/>
      <c r="AF84" s="243"/>
      <c r="AG84" s="243"/>
      <c r="AH84" s="243"/>
      <c r="AI84" s="243"/>
      <c r="AJ84" s="243"/>
      <c r="AK84" s="243"/>
      <c r="AL84" s="243"/>
      <c r="AM84" s="243"/>
      <c r="AN84" s="243"/>
      <c r="AO84" s="243"/>
      <c r="AP84" s="243"/>
      <c r="AQ84" s="243"/>
      <c r="AR84" s="243"/>
      <c r="AS84" s="243"/>
      <c r="AT84" s="243"/>
      <c r="AU84" s="243"/>
      <c r="AV84" s="243"/>
      <c r="AW84" s="243"/>
      <c r="AX84" s="243"/>
      <c r="AY84" s="243"/>
      <c r="AZ84" s="243"/>
      <c r="BA84" s="243"/>
      <c r="BB84" s="243"/>
      <c r="BC84" s="243"/>
      <c r="BD84" s="243"/>
      <c r="BE84" s="243"/>
      <c r="BF84" s="243"/>
      <c r="BG84" s="243"/>
      <c r="BH84" s="243"/>
      <c r="BI84" s="243"/>
      <c r="BJ84" s="243"/>
      <c r="BK84" s="243"/>
      <c r="BL84" s="243"/>
      <c r="BM84" s="243"/>
      <c r="BN84" s="243"/>
      <c r="BO84" s="243"/>
      <c r="BP84" s="243"/>
      <c r="BQ84" s="243"/>
      <c r="BR84" s="243"/>
      <c r="BS84" s="243"/>
      <c r="BT84" s="243"/>
      <c r="BU84" s="243"/>
      <c r="BV84" s="243"/>
      <c r="BW84" s="243"/>
      <c r="BX84" s="243"/>
      <c r="BY84" s="243"/>
      <c r="BZ84" s="243"/>
      <c r="CA84" s="243"/>
      <c r="CB84" s="243"/>
      <c r="CC84" s="243"/>
      <c r="CD84" s="243"/>
      <c r="CE84" s="243"/>
      <c r="CF84" s="243"/>
      <c r="CG84" s="243"/>
      <c r="CH84" s="243"/>
      <c r="CI84" s="243"/>
      <c r="CJ84" s="243"/>
      <c r="CK84" s="243"/>
      <c r="CL84" s="243"/>
      <c r="CM84" s="243"/>
      <c r="CN84" s="243"/>
      <c r="CO84" s="243"/>
      <c r="CP84" s="243"/>
      <c r="CQ84" s="243"/>
      <c r="CR84" s="243"/>
      <c r="CS84" s="243"/>
      <c r="CT84" s="243"/>
      <c r="CU84" s="243"/>
      <c r="CV84" s="243"/>
      <c r="CW84" s="243"/>
      <c r="CX84" s="243"/>
      <c r="CY84" s="243"/>
      <c r="CZ84" s="243"/>
      <c r="DA84" s="243"/>
      <c r="DB84" s="243"/>
      <c r="DC84" s="243"/>
      <c r="DD84" s="243"/>
      <c r="DE84" s="243"/>
      <c r="DF84" s="243"/>
      <c r="DG84" s="243"/>
      <c r="DH84" s="243"/>
      <c r="DI84" s="243"/>
      <c r="DJ84" s="243"/>
      <c r="DK84" s="243"/>
      <c r="DL84" s="243"/>
      <c r="DM84" s="243"/>
      <c r="DN84" s="243"/>
      <c r="DO84" s="243"/>
      <c r="DP84" s="243"/>
      <c r="DQ84" s="243"/>
      <c r="DR84" s="243"/>
      <c r="DS84" s="243"/>
      <c r="DT84" s="243"/>
      <c r="DU84" s="243"/>
      <c r="DV84" s="243"/>
      <c r="DW84" s="243"/>
      <c r="DX84" s="243"/>
      <c r="DY84" s="243"/>
      <c r="DZ84" s="243"/>
      <c r="EA84" s="243"/>
      <c r="EB84" s="243"/>
      <c r="EC84" s="243"/>
      <c r="ED84" s="243"/>
      <c r="EE84" s="243"/>
      <c r="EF84" s="243"/>
      <c r="EG84" s="243"/>
      <c r="EH84" s="243"/>
      <c r="EI84" s="243"/>
      <c r="EJ84" s="243"/>
      <c r="EK84" s="243"/>
      <c r="EL84" s="243"/>
      <c r="EM84" s="243"/>
      <c r="EN84" s="243"/>
      <c r="EO84" s="243"/>
      <c r="EP84" s="243"/>
      <c r="EQ84" s="243"/>
      <c r="ER84" s="243"/>
      <c r="ES84" s="243"/>
      <c r="ET84" s="243"/>
      <c r="EU84" s="243"/>
      <c r="EV84" s="243"/>
      <c r="EW84" s="243"/>
      <c r="EX84" s="243"/>
      <c r="EY84" s="243"/>
      <c r="EZ84" s="243"/>
      <c r="FA84" s="243"/>
      <c r="FB84" s="243"/>
      <c r="FC84" s="243"/>
      <c r="FD84" s="243"/>
      <c r="FE84" s="243"/>
      <c r="FF84" s="243"/>
      <c r="FG84" s="243"/>
      <c r="FH84" s="243"/>
      <c r="FI84" s="243"/>
      <c r="FJ84" s="243"/>
      <c r="FK84" s="243"/>
      <c r="FL84" s="243"/>
      <c r="FM84" s="243"/>
      <c r="FN84" s="243"/>
      <c r="FO84" s="243"/>
      <c r="FP84" s="243"/>
      <c r="FQ84" s="243"/>
      <c r="FR84" s="243"/>
      <c r="FS84" s="243"/>
      <c r="FT84" s="243"/>
      <c r="FU84" s="243"/>
      <c r="FV84" s="243"/>
      <c r="FW84" s="243"/>
      <c r="FX84" s="243"/>
      <c r="FY84" s="243"/>
      <c r="FZ84" s="243"/>
      <c r="GA84" s="243"/>
      <c r="GB84" s="243"/>
      <c r="GC84" s="243"/>
      <c r="GD84" s="243"/>
      <c r="GE84" s="243"/>
      <c r="GF84" s="243"/>
      <c r="GG84" s="243"/>
      <c r="GH84" s="243"/>
      <c r="GI84" s="243"/>
      <c r="GJ84" s="243"/>
      <c r="GK84" s="243"/>
      <c r="GL84" s="243"/>
      <c r="GM84" s="243"/>
      <c r="GN84" s="243"/>
      <c r="GO84" s="243"/>
      <c r="GP84" s="243"/>
      <c r="GQ84" s="243"/>
      <c r="GR84" s="243"/>
      <c r="GS84" s="243"/>
      <c r="GT84" s="243"/>
      <c r="GU84" s="243"/>
      <c r="GV84" s="243"/>
      <c r="GW84" s="243"/>
      <c r="GX84" s="243"/>
      <c r="GY84" s="243"/>
      <c r="GZ84" s="243"/>
      <c r="HA84" s="243"/>
      <c r="HB84" s="243"/>
      <c r="HC84" s="243"/>
      <c r="HD84" s="243"/>
      <c r="HE84" s="243"/>
      <c r="HF84" s="243"/>
      <c r="HG84" s="243"/>
      <c r="HH84" s="243"/>
      <c r="HI84" s="243"/>
      <c r="HJ84" s="243"/>
      <c r="HK84" s="243"/>
      <c r="HL84" s="243"/>
      <c r="HM84" s="243"/>
      <c r="HN84" s="243"/>
      <c r="HO84" s="243"/>
      <c r="HP84" s="243"/>
      <c r="HQ84" s="243"/>
      <c r="HR84" s="243"/>
      <c r="HS84" s="243"/>
      <c r="HT84" s="243"/>
      <c r="HU84" s="243"/>
      <c r="HV84" s="243"/>
      <c r="HW84" s="243"/>
      <c r="HX84" s="243"/>
      <c r="HY84" s="243"/>
      <c r="HZ84" s="243"/>
      <c r="IA84" s="243"/>
    </row>
    <row r="85" spans="1:235" s="244" customFormat="1" ht="14.25" customHeight="1" x14ac:dyDescent="0.25">
      <c r="A85" s="245">
        <v>8</v>
      </c>
      <c r="B85" s="242"/>
      <c r="C85" s="366" t="s">
        <v>320</v>
      </c>
      <c r="D85" s="364" t="s">
        <v>110</v>
      </c>
      <c r="E85" s="365">
        <f>E82*0.1</f>
        <v>1.5300000000000002</v>
      </c>
      <c r="F85" s="63"/>
      <c r="G85" s="64"/>
      <c r="H85" s="65"/>
      <c r="I85" s="64"/>
      <c r="J85" s="64"/>
      <c r="K85" s="66"/>
      <c r="L85" s="67"/>
      <c r="M85" s="64"/>
      <c r="N85" s="64"/>
      <c r="O85" s="64"/>
      <c r="P85" s="68"/>
      <c r="Q85" s="69"/>
      <c r="R85" s="137"/>
      <c r="S85" s="69"/>
      <c r="T85" s="243"/>
      <c r="U85" s="243"/>
      <c r="V85" s="243"/>
      <c r="W85" s="243"/>
      <c r="X85" s="243"/>
      <c r="Y85" s="243"/>
      <c r="Z85" s="243"/>
      <c r="AA85" s="243"/>
      <c r="AB85" s="243"/>
      <c r="AC85" s="243"/>
      <c r="AD85" s="243"/>
      <c r="AE85" s="243"/>
      <c r="AF85" s="243"/>
      <c r="AG85" s="243"/>
      <c r="AH85" s="243"/>
      <c r="AI85" s="243"/>
      <c r="AJ85" s="243"/>
      <c r="AK85" s="243"/>
      <c r="AL85" s="243"/>
      <c r="AM85" s="243"/>
      <c r="AN85" s="243"/>
      <c r="AO85" s="243"/>
      <c r="AP85" s="243"/>
      <c r="AQ85" s="243"/>
      <c r="AR85" s="243"/>
      <c r="AS85" s="243"/>
      <c r="AT85" s="243"/>
      <c r="AU85" s="243"/>
      <c r="AV85" s="243"/>
      <c r="AW85" s="243"/>
      <c r="AX85" s="243"/>
      <c r="AY85" s="243"/>
      <c r="AZ85" s="243"/>
      <c r="BA85" s="243"/>
      <c r="BB85" s="243"/>
      <c r="BC85" s="243"/>
      <c r="BD85" s="243"/>
      <c r="BE85" s="243"/>
      <c r="BF85" s="243"/>
      <c r="BG85" s="243"/>
      <c r="BH85" s="243"/>
      <c r="BI85" s="243"/>
      <c r="BJ85" s="243"/>
      <c r="BK85" s="243"/>
      <c r="BL85" s="243"/>
      <c r="BM85" s="243"/>
      <c r="BN85" s="243"/>
      <c r="BO85" s="243"/>
      <c r="BP85" s="243"/>
      <c r="BQ85" s="243"/>
      <c r="BR85" s="243"/>
      <c r="BS85" s="243"/>
      <c r="BT85" s="243"/>
      <c r="BU85" s="243"/>
      <c r="BV85" s="243"/>
      <c r="BW85" s="243"/>
      <c r="BX85" s="243"/>
      <c r="BY85" s="243"/>
      <c r="BZ85" s="243"/>
      <c r="CA85" s="243"/>
      <c r="CB85" s="243"/>
      <c r="CC85" s="243"/>
      <c r="CD85" s="243"/>
      <c r="CE85" s="243"/>
      <c r="CF85" s="243"/>
      <c r="CG85" s="243"/>
      <c r="CH85" s="243"/>
      <c r="CI85" s="243"/>
      <c r="CJ85" s="243"/>
      <c r="CK85" s="243"/>
      <c r="CL85" s="243"/>
      <c r="CM85" s="243"/>
      <c r="CN85" s="243"/>
      <c r="CO85" s="243"/>
      <c r="CP85" s="243"/>
      <c r="CQ85" s="243"/>
      <c r="CR85" s="243"/>
      <c r="CS85" s="243"/>
      <c r="CT85" s="243"/>
      <c r="CU85" s="243"/>
      <c r="CV85" s="243"/>
      <c r="CW85" s="243"/>
      <c r="CX85" s="243"/>
      <c r="CY85" s="243"/>
      <c r="CZ85" s="243"/>
      <c r="DA85" s="243"/>
      <c r="DB85" s="243"/>
      <c r="DC85" s="243"/>
      <c r="DD85" s="243"/>
      <c r="DE85" s="243"/>
      <c r="DF85" s="243"/>
      <c r="DG85" s="243"/>
      <c r="DH85" s="243"/>
      <c r="DI85" s="243"/>
      <c r="DJ85" s="243"/>
      <c r="DK85" s="243"/>
      <c r="DL85" s="243"/>
      <c r="DM85" s="243"/>
      <c r="DN85" s="243"/>
      <c r="DO85" s="243"/>
      <c r="DP85" s="243"/>
      <c r="DQ85" s="243"/>
      <c r="DR85" s="243"/>
      <c r="DS85" s="243"/>
      <c r="DT85" s="243"/>
      <c r="DU85" s="243"/>
      <c r="DV85" s="243"/>
      <c r="DW85" s="243"/>
      <c r="DX85" s="243"/>
      <c r="DY85" s="243"/>
      <c r="DZ85" s="243"/>
      <c r="EA85" s="243"/>
      <c r="EB85" s="243"/>
      <c r="EC85" s="243"/>
      <c r="ED85" s="243"/>
      <c r="EE85" s="243"/>
      <c r="EF85" s="243"/>
      <c r="EG85" s="243"/>
      <c r="EH85" s="243"/>
      <c r="EI85" s="243"/>
      <c r="EJ85" s="243"/>
      <c r="EK85" s="243"/>
      <c r="EL85" s="243"/>
      <c r="EM85" s="243"/>
      <c r="EN85" s="243"/>
      <c r="EO85" s="243"/>
      <c r="EP85" s="243"/>
      <c r="EQ85" s="243"/>
      <c r="ER85" s="243"/>
      <c r="ES85" s="243"/>
      <c r="ET85" s="243"/>
      <c r="EU85" s="243"/>
      <c r="EV85" s="243"/>
      <c r="EW85" s="243"/>
      <c r="EX85" s="243"/>
      <c r="EY85" s="243"/>
      <c r="EZ85" s="243"/>
      <c r="FA85" s="243"/>
      <c r="FB85" s="243"/>
      <c r="FC85" s="243"/>
      <c r="FD85" s="243"/>
      <c r="FE85" s="243"/>
      <c r="FF85" s="243"/>
      <c r="FG85" s="243"/>
      <c r="FH85" s="243"/>
      <c r="FI85" s="243"/>
      <c r="FJ85" s="243"/>
      <c r="FK85" s="243"/>
      <c r="FL85" s="243"/>
      <c r="FM85" s="243"/>
      <c r="FN85" s="243"/>
      <c r="FO85" s="243"/>
      <c r="FP85" s="243"/>
      <c r="FQ85" s="243"/>
      <c r="FR85" s="243"/>
      <c r="FS85" s="243"/>
      <c r="FT85" s="243"/>
      <c r="FU85" s="243"/>
      <c r="FV85" s="243"/>
      <c r="FW85" s="243"/>
      <c r="FX85" s="243"/>
      <c r="FY85" s="243"/>
      <c r="FZ85" s="243"/>
      <c r="GA85" s="243"/>
      <c r="GB85" s="243"/>
      <c r="GC85" s="243"/>
      <c r="GD85" s="243"/>
      <c r="GE85" s="243"/>
      <c r="GF85" s="243"/>
      <c r="GG85" s="243"/>
      <c r="GH85" s="243"/>
      <c r="GI85" s="243"/>
      <c r="GJ85" s="243"/>
      <c r="GK85" s="243"/>
      <c r="GL85" s="243"/>
      <c r="GM85" s="243"/>
      <c r="GN85" s="243"/>
      <c r="GO85" s="243"/>
      <c r="GP85" s="243"/>
      <c r="GQ85" s="243"/>
      <c r="GR85" s="243"/>
      <c r="GS85" s="243"/>
      <c r="GT85" s="243"/>
      <c r="GU85" s="243"/>
      <c r="GV85" s="243"/>
      <c r="GW85" s="243"/>
      <c r="GX85" s="243"/>
      <c r="GY85" s="243"/>
      <c r="GZ85" s="243"/>
      <c r="HA85" s="243"/>
      <c r="HB85" s="243"/>
      <c r="HC85" s="243"/>
      <c r="HD85" s="243"/>
      <c r="HE85" s="243"/>
      <c r="HF85" s="243"/>
      <c r="HG85" s="243"/>
      <c r="HH85" s="243"/>
      <c r="HI85" s="243"/>
      <c r="HJ85" s="243"/>
      <c r="HK85" s="243"/>
      <c r="HL85" s="243"/>
      <c r="HM85" s="243"/>
      <c r="HN85" s="243"/>
      <c r="HO85" s="243"/>
      <c r="HP85" s="243"/>
      <c r="HQ85" s="243"/>
      <c r="HR85" s="243"/>
      <c r="HS85" s="243"/>
      <c r="HT85" s="243"/>
      <c r="HU85" s="243"/>
      <c r="HV85" s="243"/>
      <c r="HW85" s="243"/>
      <c r="HX85" s="243"/>
      <c r="HY85" s="243"/>
      <c r="HZ85" s="243"/>
      <c r="IA85" s="243"/>
    </row>
    <row r="86" spans="1:235" s="244" customFormat="1" ht="14.25" customHeight="1" x14ac:dyDescent="0.25">
      <c r="A86" s="245">
        <v>9</v>
      </c>
      <c r="B86" s="242"/>
      <c r="C86" s="366" t="s">
        <v>246</v>
      </c>
      <c r="D86" s="364" t="s">
        <v>124</v>
      </c>
      <c r="E86" s="365">
        <f>E82</f>
        <v>15.3</v>
      </c>
      <c r="F86" s="63"/>
      <c r="G86" s="64"/>
      <c r="H86" s="65"/>
      <c r="I86" s="64"/>
      <c r="J86" s="64"/>
      <c r="K86" s="66"/>
      <c r="L86" s="67"/>
      <c r="M86" s="64"/>
      <c r="N86" s="64"/>
      <c r="O86" s="64"/>
      <c r="P86" s="68"/>
      <c r="Q86" s="69"/>
      <c r="R86" s="137"/>
      <c r="S86" s="69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243"/>
      <c r="AF86" s="243"/>
      <c r="AG86" s="243"/>
      <c r="AH86" s="243"/>
      <c r="AI86" s="243"/>
      <c r="AJ86" s="243"/>
      <c r="AK86" s="243"/>
      <c r="AL86" s="243"/>
      <c r="AM86" s="243"/>
      <c r="AN86" s="243"/>
      <c r="AO86" s="243"/>
      <c r="AP86" s="243"/>
      <c r="AQ86" s="243"/>
      <c r="AR86" s="243"/>
      <c r="AS86" s="243"/>
      <c r="AT86" s="243"/>
      <c r="AU86" s="243"/>
      <c r="AV86" s="243"/>
      <c r="AW86" s="243"/>
      <c r="AX86" s="243"/>
      <c r="AY86" s="243"/>
      <c r="AZ86" s="243"/>
      <c r="BA86" s="243"/>
      <c r="BB86" s="243"/>
      <c r="BC86" s="243"/>
      <c r="BD86" s="243"/>
      <c r="BE86" s="243"/>
      <c r="BF86" s="243"/>
      <c r="BG86" s="243"/>
      <c r="BH86" s="243"/>
      <c r="BI86" s="243"/>
      <c r="BJ86" s="243"/>
      <c r="BK86" s="243"/>
      <c r="BL86" s="243"/>
      <c r="BM86" s="243"/>
      <c r="BN86" s="243"/>
      <c r="BO86" s="243"/>
      <c r="BP86" s="243"/>
      <c r="BQ86" s="243"/>
      <c r="BR86" s="243"/>
      <c r="BS86" s="243"/>
      <c r="BT86" s="243"/>
      <c r="BU86" s="243"/>
      <c r="BV86" s="243"/>
      <c r="BW86" s="243"/>
      <c r="BX86" s="243"/>
      <c r="BY86" s="243"/>
      <c r="BZ86" s="243"/>
      <c r="CA86" s="243"/>
      <c r="CB86" s="243"/>
      <c r="CC86" s="243"/>
      <c r="CD86" s="243"/>
      <c r="CE86" s="243"/>
      <c r="CF86" s="243"/>
      <c r="CG86" s="243"/>
      <c r="CH86" s="243"/>
      <c r="CI86" s="243"/>
      <c r="CJ86" s="243"/>
      <c r="CK86" s="243"/>
      <c r="CL86" s="243"/>
      <c r="CM86" s="243"/>
      <c r="CN86" s="243"/>
      <c r="CO86" s="243"/>
      <c r="CP86" s="243"/>
      <c r="CQ86" s="243"/>
      <c r="CR86" s="243"/>
      <c r="CS86" s="243"/>
      <c r="CT86" s="243"/>
      <c r="CU86" s="243"/>
      <c r="CV86" s="243"/>
      <c r="CW86" s="243"/>
      <c r="CX86" s="243"/>
      <c r="CY86" s="243"/>
      <c r="CZ86" s="243"/>
      <c r="DA86" s="243"/>
      <c r="DB86" s="243"/>
      <c r="DC86" s="243"/>
      <c r="DD86" s="243"/>
      <c r="DE86" s="243"/>
      <c r="DF86" s="243"/>
      <c r="DG86" s="243"/>
      <c r="DH86" s="243"/>
      <c r="DI86" s="243"/>
      <c r="DJ86" s="243"/>
      <c r="DK86" s="243"/>
      <c r="DL86" s="243"/>
      <c r="DM86" s="243"/>
      <c r="DN86" s="243"/>
      <c r="DO86" s="243"/>
      <c r="DP86" s="243"/>
      <c r="DQ86" s="243"/>
      <c r="DR86" s="243"/>
      <c r="DS86" s="243"/>
      <c r="DT86" s="243"/>
      <c r="DU86" s="243"/>
      <c r="DV86" s="243"/>
      <c r="DW86" s="243"/>
      <c r="DX86" s="243"/>
      <c r="DY86" s="243"/>
      <c r="DZ86" s="243"/>
      <c r="EA86" s="243"/>
      <c r="EB86" s="243"/>
      <c r="EC86" s="243"/>
      <c r="ED86" s="243"/>
      <c r="EE86" s="243"/>
      <c r="EF86" s="243"/>
      <c r="EG86" s="243"/>
      <c r="EH86" s="243"/>
      <c r="EI86" s="243"/>
      <c r="EJ86" s="243"/>
      <c r="EK86" s="243"/>
      <c r="EL86" s="243"/>
      <c r="EM86" s="243"/>
      <c r="EN86" s="243"/>
      <c r="EO86" s="243"/>
      <c r="EP86" s="243"/>
      <c r="EQ86" s="243"/>
      <c r="ER86" s="243"/>
      <c r="ES86" s="243"/>
      <c r="ET86" s="243"/>
      <c r="EU86" s="243"/>
      <c r="EV86" s="243"/>
      <c r="EW86" s="243"/>
      <c r="EX86" s="243"/>
      <c r="EY86" s="243"/>
      <c r="EZ86" s="243"/>
      <c r="FA86" s="243"/>
      <c r="FB86" s="243"/>
      <c r="FC86" s="243"/>
      <c r="FD86" s="243"/>
      <c r="FE86" s="243"/>
      <c r="FF86" s="243"/>
      <c r="FG86" s="243"/>
      <c r="FH86" s="243"/>
      <c r="FI86" s="243"/>
      <c r="FJ86" s="243"/>
      <c r="FK86" s="243"/>
      <c r="FL86" s="243"/>
      <c r="FM86" s="243"/>
      <c r="FN86" s="243"/>
      <c r="FO86" s="243"/>
      <c r="FP86" s="243"/>
      <c r="FQ86" s="243"/>
      <c r="FR86" s="243"/>
      <c r="FS86" s="243"/>
      <c r="FT86" s="243"/>
      <c r="FU86" s="243"/>
      <c r="FV86" s="243"/>
      <c r="FW86" s="243"/>
      <c r="FX86" s="243"/>
      <c r="FY86" s="243"/>
      <c r="FZ86" s="243"/>
      <c r="GA86" s="243"/>
      <c r="GB86" s="243"/>
      <c r="GC86" s="243"/>
      <c r="GD86" s="243"/>
      <c r="GE86" s="243"/>
      <c r="GF86" s="243"/>
      <c r="GG86" s="243"/>
      <c r="GH86" s="243"/>
      <c r="GI86" s="243"/>
      <c r="GJ86" s="243"/>
      <c r="GK86" s="243"/>
      <c r="GL86" s="243"/>
      <c r="GM86" s="243"/>
      <c r="GN86" s="243"/>
      <c r="GO86" s="243"/>
      <c r="GP86" s="243"/>
      <c r="GQ86" s="243"/>
      <c r="GR86" s="243"/>
      <c r="GS86" s="243"/>
      <c r="GT86" s="243"/>
      <c r="GU86" s="243"/>
      <c r="GV86" s="243"/>
      <c r="GW86" s="243"/>
      <c r="GX86" s="243"/>
      <c r="GY86" s="243"/>
      <c r="GZ86" s="243"/>
      <c r="HA86" s="243"/>
      <c r="HB86" s="243"/>
      <c r="HC86" s="243"/>
      <c r="HD86" s="243"/>
      <c r="HE86" s="243"/>
      <c r="HF86" s="243"/>
      <c r="HG86" s="243"/>
      <c r="HH86" s="243"/>
      <c r="HI86" s="243"/>
      <c r="HJ86" s="243"/>
      <c r="HK86" s="243"/>
      <c r="HL86" s="243"/>
      <c r="HM86" s="243"/>
      <c r="HN86" s="243"/>
      <c r="HO86" s="243"/>
      <c r="HP86" s="243"/>
      <c r="HQ86" s="243"/>
      <c r="HR86" s="243"/>
      <c r="HS86" s="243"/>
      <c r="HT86" s="243"/>
      <c r="HU86" s="243"/>
      <c r="HV86" s="243"/>
      <c r="HW86" s="243"/>
      <c r="HX86" s="243"/>
      <c r="HY86" s="243"/>
      <c r="HZ86" s="243"/>
      <c r="IA86" s="243"/>
    </row>
    <row r="87" spans="1:235" s="244" customFormat="1" ht="14.25" customHeight="1" x14ac:dyDescent="0.25">
      <c r="A87" s="245">
        <v>10</v>
      </c>
      <c r="B87" s="242" t="s">
        <v>108</v>
      </c>
      <c r="C87" s="363" t="s">
        <v>321</v>
      </c>
      <c r="D87" s="364" t="s">
        <v>124</v>
      </c>
      <c r="E87" s="365">
        <f>E82</f>
        <v>15.3</v>
      </c>
      <c r="F87" s="63"/>
      <c r="G87" s="64"/>
      <c r="H87" s="65"/>
      <c r="I87" s="64"/>
      <c r="J87" s="64"/>
      <c r="K87" s="66"/>
      <c r="L87" s="67"/>
      <c r="M87" s="64"/>
      <c r="N87" s="64"/>
      <c r="O87" s="64"/>
      <c r="P87" s="68"/>
      <c r="Q87" s="69"/>
      <c r="R87" s="137"/>
      <c r="S87" s="69"/>
      <c r="T87" s="243"/>
      <c r="U87" s="243"/>
      <c r="V87" s="243"/>
      <c r="W87" s="243"/>
      <c r="X87" s="243"/>
      <c r="Y87" s="243"/>
      <c r="Z87" s="243"/>
      <c r="AA87" s="243"/>
      <c r="AB87" s="243"/>
      <c r="AC87" s="243"/>
      <c r="AD87" s="243"/>
      <c r="AE87" s="243"/>
      <c r="AF87" s="243"/>
      <c r="AG87" s="243"/>
      <c r="AH87" s="243"/>
      <c r="AI87" s="243"/>
      <c r="AJ87" s="243"/>
      <c r="AK87" s="243"/>
      <c r="AL87" s="243"/>
      <c r="AM87" s="243"/>
      <c r="AN87" s="243"/>
      <c r="AO87" s="243"/>
      <c r="AP87" s="243"/>
      <c r="AQ87" s="243"/>
      <c r="AR87" s="243"/>
      <c r="AS87" s="243"/>
      <c r="AT87" s="243"/>
      <c r="AU87" s="243"/>
      <c r="AV87" s="243"/>
      <c r="AW87" s="243"/>
      <c r="AX87" s="243"/>
      <c r="AY87" s="243"/>
      <c r="AZ87" s="243"/>
      <c r="BA87" s="243"/>
      <c r="BB87" s="243"/>
      <c r="BC87" s="243"/>
      <c r="BD87" s="243"/>
      <c r="BE87" s="243"/>
      <c r="BF87" s="243"/>
      <c r="BG87" s="243"/>
      <c r="BH87" s="243"/>
      <c r="BI87" s="243"/>
      <c r="BJ87" s="243"/>
      <c r="BK87" s="243"/>
      <c r="BL87" s="243"/>
      <c r="BM87" s="243"/>
      <c r="BN87" s="243"/>
      <c r="BO87" s="243"/>
      <c r="BP87" s="243"/>
      <c r="BQ87" s="243"/>
      <c r="BR87" s="243"/>
      <c r="BS87" s="243"/>
      <c r="BT87" s="243"/>
      <c r="BU87" s="243"/>
      <c r="BV87" s="243"/>
      <c r="BW87" s="243"/>
      <c r="BX87" s="243"/>
      <c r="BY87" s="243"/>
      <c r="BZ87" s="243"/>
      <c r="CA87" s="243"/>
      <c r="CB87" s="243"/>
      <c r="CC87" s="243"/>
      <c r="CD87" s="243"/>
      <c r="CE87" s="243"/>
      <c r="CF87" s="243"/>
      <c r="CG87" s="243"/>
      <c r="CH87" s="243"/>
      <c r="CI87" s="243"/>
      <c r="CJ87" s="243"/>
      <c r="CK87" s="243"/>
      <c r="CL87" s="243"/>
      <c r="CM87" s="243"/>
      <c r="CN87" s="243"/>
      <c r="CO87" s="243"/>
      <c r="CP87" s="243"/>
      <c r="CQ87" s="243"/>
      <c r="CR87" s="243"/>
      <c r="CS87" s="243"/>
      <c r="CT87" s="243"/>
      <c r="CU87" s="243"/>
      <c r="CV87" s="243"/>
      <c r="CW87" s="243"/>
      <c r="CX87" s="243"/>
      <c r="CY87" s="243"/>
      <c r="CZ87" s="243"/>
      <c r="DA87" s="243"/>
      <c r="DB87" s="243"/>
      <c r="DC87" s="243"/>
      <c r="DD87" s="243"/>
      <c r="DE87" s="243"/>
      <c r="DF87" s="243"/>
      <c r="DG87" s="243"/>
      <c r="DH87" s="243"/>
      <c r="DI87" s="243"/>
      <c r="DJ87" s="243"/>
      <c r="DK87" s="243"/>
      <c r="DL87" s="243"/>
      <c r="DM87" s="243"/>
      <c r="DN87" s="243"/>
      <c r="DO87" s="243"/>
      <c r="DP87" s="243"/>
      <c r="DQ87" s="243"/>
      <c r="DR87" s="243"/>
      <c r="DS87" s="243"/>
      <c r="DT87" s="243"/>
      <c r="DU87" s="243"/>
      <c r="DV87" s="243"/>
      <c r="DW87" s="243"/>
      <c r="DX87" s="243"/>
      <c r="DY87" s="243"/>
      <c r="DZ87" s="243"/>
      <c r="EA87" s="243"/>
      <c r="EB87" s="243"/>
      <c r="EC87" s="243"/>
      <c r="ED87" s="243"/>
      <c r="EE87" s="243"/>
      <c r="EF87" s="243"/>
      <c r="EG87" s="243"/>
      <c r="EH87" s="243"/>
      <c r="EI87" s="243"/>
      <c r="EJ87" s="243"/>
      <c r="EK87" s="243"/>
      <c r="EL87" s="243"/>
      <c r="EM87" s="243"/>
      <c r="EN87" s="243"/>
      <c r="EO87" s="243"/>
      <c r="EP87" s="243"/>
      <c r="EQ87" s="243"/>
      <c r="ER87" s="243"/>
      <c r="ES87" s="243"/>
      <c r="ET87" s="243"/>
      <c r="EU87" s="243"/>
      <c r="EV87" s="243"/>
      <c r="EW87" s="243"/>
      <c r="EX87" s="243"/>
      <c r="EY87" s="243"/>
      <c r="EZ87" s="243"/>
      <c r="FA87" s="243"/>
      <c r="FB87" s="243"/>
      <c r="FC87" s="243"/>
      <c r="FD87" s="243"/>
      <c r="FE87" s="243"/>
      <c r="FF87" s="243"/>
      <c r="FG87" s="243"/>
      <c r="FH87" s="243"/>
      <c r="FI87" s="243"/>
      <c r="FJ87" s="243"/>
      <c r="FK87" s="243"/>
      <c r="FL87" s="243"/>
      <c r="FM87" s="243"/>
      <c r="FN87" s="243"/>
      <c r="FO87" s="243"/>
      <c r="FP87" s="243"/>
      <c r="FQ87" s="243"/>
      <c r="FR87" s="243"/>
      <c r="FS87" s="243"/>
      <c r="FT87" s="243"/>
      <c r="FU87" s="243"/>
      <c r="FV87" s="243"/>
      <c r="FW87" s="243"/>
      <c r="FX87" s="243"/>
      <c r="FY87" s="243"/>
      <c r="FZ87" s="243"/>
      <c r="GA87" s="243"/>
      <c r="GB87" s="243"/>
      <c r="GC87" s="243"/>
      <c r="GD87" s="243"/>
      <c r="GE87" s="243"/>
      <c r="GF87" s="243"/>
      <c r="GG87" s="243"/>
      <c r="GH87" s="243"/>
      <c r="GI87" s="243"/>
      <c r="GJ87" s="243"/>
      <c r="GK87" s="243"/>
      <c r="GL87" s="243"/>
      <c r="GM87" s="243"/>
      <c r="GN87" s="243"/>
      <c r="GO87" s="243"/>
      <c r="GP87" s="243"/>
      <c r="GQ87" s="243"/>
      <c r="GR87" s="243"/>
      <c r="GS87" s="243"/>
      <c r="GT87" s="243"/>
      <c r="GU87" s="243"/>
      <c r="GV87" s="243"/>
      <c r="GW87" s="243"/>
      <c r="GX87" s="243"/>
      <c r="GY87" s="243"/>
      <c r="GZ87" s="243"/>
      <c r="HA87" s="243"/>
      <c r="HB87" s="243"/>
      <c r="HC87" s="243"/>
      <c r="HD87" s="243"/>
      <c r="HE87" s="243"/>
      <c r="HF87" s="243"/>
      <c r="HG87" s="243"/>
      <c r="HH87" s="243"/>
      <c r="HI87" s="243"/>
      <c r="HJ87" s="243"/>
      <c r="HK87" s="243"/>
      <c r="HL87" s="243"/>
      <c r="HM87" s="243"/>
      <c r="HN87" s="243"/>
      <c r="HO87" s="243"/>
      <c r="HP87" s="243"/>
      <c r="HQ87" s="243"/>
      <c r="HR87" s="243"/>
      <c r="HS87" s="243"/>
      <c r="HT87" s="243"/>
      <c r="HU87" s="243"/>
      <c r="HV87" s="243"/>
      <c r="HW87" s="243"/>
      <c r="HX87" s="243"/>
      <c r="HY87" s="243"/>
      <c r="HZ87" s="243"/>
      <c r="IA87" s="243"/>
    </row>
    <row r="88" spans="1:235" s="244" customFormat="1" ht="14.25" customHeight="1" x14ac:dyDescent="0.25">
      <c r="A88" s="245">
        <v>11</v>
      </c>
      <c r="B88" s="242"/>
      <c r="C88" s="366" t="s">
        <v>322</v>
      </c>
      <c r="D88" s="364" t="s">
        <v>177</v>
      </c>
      <c r="E88" s="365">
        <f>E87*0.35</f>
        <v>5.3549999999999995</v>
      </c>
      <c r="F88" s="63"/>
      <c r="G88" s="64"/>
      <c r="H88" s="65"/>
      <c r="I88" s="64"/>
      <c r="J88" s="64"/>
      <c r="K88" s="66"/>
      <c r="L88" s="67"/>
      <c r="M88" s="64"/>
      <c r="N88" s="64"/>
      <c r="O88" s="64"/>
      <c r="P88" s="68"/>
      <c r="Q88" s="69"/>
      <c r="R88" s="137"/>
      <c r="S88" s="69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243"/>
      <c r="AF88" s="243"/>
      <c r="AG88" s="243"/>
      <c r="AH88" s="243"/>
      <c r="AI88" s="243"/>
      <c r="AJ88" s="243"/>
      <c r="AK88" s="243"/>
      <c r="AL88" s="243"/>
      <c r="AM88" s="243"/>
      <c r="AN88" s="243"/>
      <c r="AO88" s="243"/>
      <c r="AP88" s="243"/>
      <c r="AQ88" s="243"/>
      <c r="AR88" s="243"/>
      <c r="AS88" s="243"/>
      <c r="AT88" s="243"/>
      <c r="AU88" s="243"/>
      <c r="AV88" s="243"/>
      <c r="AW88" s="243"/>
      <c r="AX88" s="243"/>
      <c r="AY88" s="243"/>
      <c r="AZ88" s="243"/>
      <c r="BA88" s="243"/>
      <c r="BB88" s="243"/>
      <c r="BC88" s="243"/>
      <c r="BD88" s="243"/>
      <c r="BE88" s="243"/>
      <c r="BF88" s="243"/>
      <c r="BG88" s="243"/>
      <c r="BH88" s="243"/>
      <c r="BI88" s="243"/>
      <c r="BJ88" s="243"/>
      <c r="BK88" s="243"/>
      <c r="BL88" s="243"/>
      <c r="BM88" s="243"/>
      <c r="BN88" s="243"/>
      <c r="BO88" s="243"/>
      <c r="BP88" s="243"/>
      <c r="BQ88" s="243"/>
      <c r="BR88" s="243"/>
      <c r="BS88" s="243"/>
      <c r="BT88" s="243"/>
      <c r="BU88" s="243"/>
      <c r="BV88" s="243"/>
      <c r="BW88" s="243"/>
      <c r="BX88" s="243"/>
      <c r="BY88" s="243"/>
      <c r="BZ88" s="243"/>
      <c r="CA88" s="243"/>
      <c r="CB88" s="243"/>
      <c r="CC88" s="243"/>
      <c r="CD88" s="243"/>
      <c r="CE88" s="243"/>
      <c r="CF88" s="243"/>
      <c r="CG88" s="243"/>
      <c r="CH88" s="243"/>
      <c r="CI88" s="243"/>
      <c r="CJ88" s="243"/>
      <c r="CK88" s="243"/>
      <c r="CL88" s="243"/>
      <c r="CM88" s="243"/>
      <c r="CN88" s="243"/>
      <c r="CO88" s="243"/>
      <c r="CP88" s="243"/>
      <c r="CQ88" s="243"/>
      <c r="CR88" s="243"/>
      <c r="CS88" s="243"/>
      <c r="CT88" s="243"/>
      <c r="CU88" s="243"/>
      <c r="CV88" s="243"/>
      <c r="CW88" s="243"/>
      <c r="CX88" s="243"/>
      <c r="CY88" s="243"/>
      <c r="CZ88" s="243"/>
      <c r="DA88" s="243"/>
      <c r="DB88" s="243"/>
      <c r="DC88" s="243"/>
      <c r="DD88" s="243"/>
      <c r="DE88" s="243"/>
      <c r="DF88" s="243"/>
      <c r="DG88" s="243"/>
      <c r="DH88" s="243"/>
      <c r="DI88" s="243"/>
      <c r="DJ88" s="243"/>
      <c r="DK88" s="243"/>
      <c r="DL88" s="243"/>
      <c r="DM88" s="243"/>
      <c r="DN88" s="243"/>
      <c r="DO88" s="243"/>
      <c r="DP88" s="243"/>
      <c r="DQ88" s="243"/>
      <c r="DR88" s="243"/>
      <c r="DS88" s="243"/>
      <c r="DT88" s="243"/>
      <c r="DU88" s="243"/>
      <c r="DV88" s="243"/>
      <c r="DW88" s="243"/>
      <c r="DX88" s="243"/>
      <c r="DY88" s="243"/>
      <c r="DZ88" s="243"/>
      <c r="EA88" s="243"/>
      <c r="EB88" s="243"/>
      <c r="EC88" s="243"/>
      <c r="ED88" s="243"/>
      <c r="EE88" s="243"/>
      <c r="EF88" s="243"/>
      <c r="EG88" s="243"/>
      <c r="EH88" s="243"/>
      <c r="EI88" s="243"/>
      <c r="EJ88" s="243"/>
      <c r="EK88" s="243"/>
      <c r="EL88" s="243"/>
      <c r="EM88" s="243"/>
      <c r="EN88" s="243"/>
      <c r="EO88" s="243"/>
      <c r="EP88" s="243"/>
      <c r="EQ88" s="243"/>
      <c r="ER88" s="243"/>
      <c r="ES88" s="243"/>
      <c r="ET88" s="243"/>
      <c r="EU88" s="243"/>
      <c r="EV88" s="243"/>
      <c r="EW88" s="243"/>
      <c r="EX88" s="243"/>
      <c r="EY88" s="243"/>
      <c r="EZ88" s="243"/>
      <c r="FA88" s="243"/>
      <c r="FB88" s="243"/>
      <c r="FC88" s="243"/>
      <c r="FD88" s="243"/>
      <c r="FE88" s="243"/>
      <c r="FF88" s="243"/>
      <c r="FG88" s="243"/>
      <c r="FH88" s="243"/>
      <c r="FI88" s="243"/>
      <c r="FJ88" s="243"/>
      <c r="FK88" s="243"/>
      <c r="FL88" s="243"/>
      <c r="FM88" s="243"/>
      <c r="FN88" s="243"/>
      <c r="FO88" s="243"/>
      <c r="FP88" s="243"/>
      <c r="FQ88" s="243"/>
      <c r="FR88" s="243"/>
      <c r="FS88" s="243"/>
      <c r="FT88" s="243"/>
      <c r="FU88" s="243"/>
      <c r="FV88" s="243"/>
      <c r="FW88" s="243"/>
      <c r="FX88" s="243"/>
      <c r="FY88" s="243"/>
      <c r="FZ88" s="243"/>
      <c r="GA88" s="243"/>
      <c r="GB88" s="243"/>
      <c r="GC88" s="243"/>
      <c r="GD88" s="243"/>
      <c r="GE88" s="243"/>
      <c r="GF88" s="243"/>
      <c r="GG88" s="243"/>
      <c r="GH88" s="243"/>
      <c r="GI88" s="243"/>
      <c r="GJ88" s="243"/>
      <c r="GK88" s="243"/>
      <c r="GL88" s="243"/>
      <c r="GM88" s="243"/>
      <c r="GN88" s="243"/>
      <c r="GO88" s="243"/>
      <c r="GP88" s="243"/>
      <c r="GQ88" s="243"/>
      <c r="GR88" s="243"/>
      <c r="GS88" s="243"/>
      <c r="GT88" s="243"/>
      <c r="GU88" s="243"/>
      <c r="GV88" s="243"/>
      <c r="GW88" s="243"/>
      <c r="GX88" s="243"/>
      <c r="GY88" s="243"/>
      <c r="GZ88" s="243"/>
      <c r="HA88" s="243"/>
      <c r="HB88" s="243"/>
      <c r="HC88" s="243"/>
      <c r="HD88" s="243"/>
      <c r="HE88" s="243"/>
      <c r="HF88" s="243"/>
      <c r="HG88" s="243"/>
      <c r="HH88" s="243"/>
      <c r="HI88" s="243"/>
      <c r="HJ88" s="243"/>
      <c r="HK88" s="243"/>
      <c r="HL88" s="243"/>
      <c r="HM88" s="243"/>
      <c r="HN88" s="243"/>
      <c r="HO88" s="243"/>
      <c r="HP88" s="243"/>
      <c r="HQ88" s="243"/>
      <c r="HR88" s="243"/>
      <c r="HS88" s="243"/>
      <c r="HT88" s="243"/>
      <c r="HU88" s="243"/>
      <c r="HV88" s="243"/>
      <c r="HW88" s="243"/>
      <c r="HX88" s="243"/>
      <c r="HY88" s="243"/>
      <c r="HZ88" s="243"/>
      <c r="IA88" s="243"/>
    </row>
    <row r="89" spans="1:235" s="244" customFormat="1" ht="14.25" customHeight="1" x14ac:dyDescent="0.25">
      <c r="A89" s="245">
        <v>12</v>
      </c>
      <c r="B89" s="242"/>
      <c r="C89" s="366" t="s">
        <v>246</v>
      </c>
      <c r="D89" s="364" t="s">
        <v>124</v>
      </c>
      <c r="E89" s="365">
        <f>E87</f>
        <v>15.3</v>
      </c>
      <c r="F89" s="63"/>
      <c r="G89" s="64"/>
      <c r="H89" s="65"/>
      <c r="I89" s="64"/>
      <c r="J89" s="64"/>
      <c r="K89" s="66"/>
      <c r="L89" s="67"/>
      <c r="M89" s="64"/>
      <c r="N89" s="64"/>
      <c r="O89" s="64"/>
      <c r="P89" s="68"/>
      <c r="Q89" s="69"/>
      <c r="R89" s="137"/>
      <c r="S89" s="69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243"/>
      <c r="AF89" s="243"/>
      <c r="AG89" s="243"/>
      <c r="AH89" s="243"/>
      <c r="AI89" s="243"/>
      <c r="AJ89" s="243"/>
      <c r="AK89" s="243"/>
      <c r="AL89" s="243"/>
      <c r="AM89" s="243"/>
      <c r="AN89" s="243"/>
      <c r="AO89" s="243"/>
      <c r="AP89" s="243"/>
      <c r="AQ89" s="243"/>
      <c r="AR89" s="243"/>
      <c r="AS89" s="243"/>
      <c r="AT89" s="243"/>
      <c r="AU89" s="243"/>
      <c r="AV89" s="243"/>
      <c r="AW89" s="243"/>
      <c r="AX89" s="243"/>
      <c r="AY89" s="243"/>
      <c r="AZ89" s="243"/>
      <c r="BA89" s="243"/>
      <c r="BB89" s="243"/>
      <c r="BC89" s="243"/>
      <c r="BD89" s="243"/>
      <c r="BE89" s="243"/>
      <c r="BF89" s="243"/>
      <c r="BG89" s="243"/>
      <c r="BH89" s="243"/>
      <c r="BI89" s="243"/>
      <c r="BJ89" s="243"/>
      <c r="BK89" s="243"/>
      <c r="BL89" s="243"/>
      <c r="BM89" s="243"/>
      <c r="BN89" s="243"/>
      <c r="BO89" s="243"/>
      <c r="BP89" s="243"/>
      <c r="BQ89" s="243"/>
      <c r="BR89" s="243"/>
      <c r="BS89" s="243"/>
      <c r="BT89" s="243"/>
      <c r="BU89" s="243"/>
      <c r="BV89" s="243"/>
      <c r="BW89" s="243"/>
      <c r="BX89" s="243"/>
      <c r="BY89" s="243"/>
      <c r="BZ89" s="243"/>
      <c r="CA89" s="243"/>
      <c r="CB89" s="243"/>
      <c r="CC89" s="243"/>
      <c r="CD89" s="243"/>
      <c r="CE89" s="243"/>
      <c r="CF89" s="243"/>
      <c r="CG89" s="243"/>
      <c r="CH89" s="243"/>
      <c r="CI89" s="243"/>
      <c r="CJ89" s="243"/>
      <c r="CK89" s="243"/>
      <c r="CL89" s="243"/>
      <c r="CM89" s="243"/>
      <c r="CN89" s="243"/>
      <c r="CO89" s="243"/>
      <c r="CP89" s="243"/>
      <c r="CQ89" s="243"/>
      <c r="CR89" s="243"/>
      <c r="CS89" s="243"/>
      <c r="CT89" s="243"/>
      <c r="CU89" s="243"/>
      <c r="CV89" s="243"/>
      <c r="CW89" s="243"/>
      <c r="CX89" s="243"/>
      <c r="CY89" s="243"/>
      <c r="CZ89" s="243"/>
      <c r="DA89" s="243"/>
      <c r="DB89" s="243"/>
      <c r="DC89" s="243"/>
      <c r="DD89" s="243"/>
      <c r="DE89" s="243"/>
      <c r="DF89" s="243"/>
      <c r="DG89" s="243"/>
      <c r="DH89" s="243"/>
      <c r="DI89" s="243"/>
      <c r="DJ89" s="243"/>
      <c r="DK89" s="243"/>
      <c r="DL89" s="243"/>
      <c r="DM89" s="243"/>
      <c r="DN89" s="243"/>
      <c r="DO89" s="243"/>
      <c r="DP89" s="243"/>
      <c r="DQ89" s="243"/>
      <c r="DR89" s="243"/>
      <c r="DS89" s="243"/>
      <c r="DT89" s="243"/>
      <c r="DU89" s="243"/>
      <c r="DV89" s="243"/>
      <c r="DW89" s="243"/>
      <c r="DX89" s="243"/>
      <c r="DY89" s="243"/>
      <c r="DZ89" s="243"/>
      <c r="EA89" s="243"/>
      <c r="EB89" s="243"/>
      <c r="EC89" s="243"/>
      <c r="ED89" s="243"/>
      <c r="EE89" s="243"/>
      <c r="EF89" s="243"/>
      <c r="EG89" s="243"/>
      <c r="EH89" s="243"/>
      <c r="EI89" s="243"/>
      <c r="EJ89" s="243"/>
      <c r="EK89" s="243"/>
      <c r="EL89" s="243"/>
      <c r="EM89" s="243"/>
      <c r="EN89" s="243"/>
      <c r="EO89" s="243"/>
      <c r="EP89" s="243"/>
      <c r="EQ89" s="243"/>
      <c r="ER89" s="243"/>
      <c r="ES89" s="243"/>
      <c r="ET89" s="243"/>
      <c r="EU89" s="243"/>
      <c r="EV89" s="243"/>
      <c r="EW89" s="243"/>
      <c r="EX89" s="243"/>
      <c r="EY89" s="243"/>
      <c r="EZ89" s="243"/>
      <c r="FA89" s="243"/>
      <c r="FB89" s="243"/>
      <c r="FC89" s="243"/>
      <c r="FD89" s="243"/>
      <c r="FE89" s="243"/>
      <c r="FF89" s="243"/>
      <c r="FG89" s="243"/>
      <c r="FH89" s="243"/>
      <c r="FI89" s="243"/>
      <c r="FJ89" s="243"/>
      <c r="FK89" s="243"/>
      <c r="FL89" s="243"/>
      <c r="FM89" s="243"/>
      <c r="FN89" s="243"/>
      <c r="FO89" s="243"/>
      <c r="FP89" s="243"/>
      <c r="FQ89" s="243"/>
      <c r="FR89" s="243"/>
      <c r="FS89" s="243"/>
      <c r="FT89" s="243"/>
      <c r="FU89" s="243"/>
      <c r="FV89" s="243"/>
      <c r="FW89" s="243"/>
      <c r="FX89" s="243"/>
      <c r="FY89" s="243"/>
      <c r="FZ89" s="243"/>
      <c r="GA89" s="243"/>
      <c r="GB89" s="243"/>
      <c r="GC89" s="243"/>
      <c r="GD89" s="243"/>
      <c r="GE89" s="243"/>
      <c r="GF89" s="243"/>
      <c r="GG89" s="243"/>
      <c r="GH89" s="243"/>
      <c r="GI89" s="243"/>
      <c r="GJ89" s="243"/>
      <c r="GK89" s="243"/>
      <c r="GL89" s="243"/>
      <c r="GM89" s="243"/>
      <c r="GN89" s="243"/>
      <c r="GO89" s="243"/>
      <c r="GP89" s="243"/>
      <c r="GQ89" s="243"/>
      <c r="GR89" s="243"/>
      <c r="GS89" s="243"/>
      <c r="GT89" s="243"/>
      <c r="GU89" s="243"/>
      <c r="GV89" s="243"/>
      <c r="GW89" s="243"/>
      <c r="GX89" s="243"/>
      <c r="GY89" s="243"/>
      <c r="GZ89" s="243"/>
      <c r="HA89" s="243"/>
      <c r="HB89" s="243"/>
      <c r="HC89" s="243"/>
      <c r="HD89" s="243"/>
      <c r="HE89" s="243"/>
      <c r="HF89" s="243"/>
      <c r="HG89" s="243"/>
      <c r="HH89" s="243"/>
      <c r="HI89" s="243"/>
      <c r="HJ89" s="243"/>
      <c r="HK89" s="243"/>
      <c r="HL89" s="243"/>
      <c r="HM89" s="243"/>
      <c r="HN89" s="243"/>
      <c r="HO89" s="243"/>
      <c r="HP89" s="243"/>
      <c r="HQ89" s="243"/>
      <c r="HR89" s="243"/>
      <c r="HS89" s="243"/>
      <c r="HT89" s="243"/>
      <c r="HU89" s="243"/>
      <c r="HV89" s="243"/>
      <c r="HW89" s="243"/>
      <c r="HX89" s="243"/>
      <c r="HY89" s="243"/>
      <c r="HZ89" s="243"/>
      <c r="IA89" s="243"/>
    </row>
    <row r="90" spans="1:235" s="244" customFormat="1" ht="25.5" customHeight="1" x14ac:dyDescent="0.25">
      <c r="A90" s="246"/>
      <c r="B90" s="247"/>
      <c r="C90" s="335" t="s">
        <v>618</v>
      </c>
      <c r="D90" s="361"/>
      <c r="E90" s="362"/>
      <c r="F90" s="248"/>
      <c r="G90" s="103"/>
      <c r="H90" s="249"/>
      <c r="I90" s="103"/>
      <c r="J90" s="103"/>
      <c r="K90" s="142"/>
      <c r="L90" s="143"/>
      <c r="M90" s="103"/>
      <c r="N90" s="103"/>
      <c r="O90" s="103"/>
      <c r="P90" s="144"/>
      <c r="Q90" s="69"/>
      <c r="R90" s="137"/>
      <c r="S90" s="69"/>
      <c r="T90" s="243"/>
      <c r="U90" s="243"/>
      <c r="V90" s="243"/>
      <c r="W90" s="243"/>
      <c r="X90" s="243"/>
      <c r="Y90" s="243"/>
      <c r="Z90" s="243"/>
      <c r="AA90" s="243"/>
      <c r="AB90" s="243"/>
      <c r="AC90" s="243"/>
      <c r="AD90" s="243"/>
      <c r="AE90" s="243"/>
      <c r="AF90" s="243"/>
      <c r="AG90" s="243"/>
      <c r="AH90" s="243"/>
      <c r="AI90" s="243"/>
      <c r="AJ90" s="243"/>
      <c r="AK90" s="243"/>
      <c r="AL90" s="243"/>
      <c r="AM90" s="243"/>
      <c r="AN90" s="243"/>
      <c r="AO90" s="243"/>
      <c r="AP90" s="243"/>
      <c r="AQ90" s="243"/>
      <c r="AR90" s="243"/>
      <c r="AS90" s="243"/>
      <c r="AT90" s="243"/>
      <c r="AU90" s="243"/>
      <c r="AV90" s="243"/>
      <c r="AW90" s="243"/>
      <c r="AX90" s="243"/>
      <c r="AY90" s="243"/>
      <c r="AZ90" s="243"/>
      <c r="BA90" s="243"/>
      <c r="BB90" s="243"/>
      <c r="BC90" s="243"/>
      <c r="BD90" s="243"/>
      <c r="BE90" s="243"/>
      <c r="BF90" s="243"/>
      <c r="BG90" s="243"/>
      <c r="BH90" s="243"/>
      <c r="BI90" s="243"/>
      <c r="BJ90" s="243"/>
      <c r="BK90" s="243"/>
      <c r="BL90" s="243"/>
      <c r="BM90" s="243"/>
      <c r="BN90" s="243"/>
      <c r="BO90" s="243"/>
      <c r="BP90" s="243"/>
      <c r="BQ90" s="243"/>
      <c r="BR90" s="243"/>
      <c r="BS90" s="243"/>
      <c r="BT90" s="243"/>
      <c r="BU90" s="243"/>
      <c r="BV90" s="243"/>
      <c r="BW90" s="243"/>
      <c r="BX90" s="243"/>
      <c r="BY90" s="243"/>
      <c r="BZ90" s="243"/>
      <c r="CA90" s="243"/>
      <c r="CB90" s="243"/>
      <c r="CC90" s="243"/>
      <c r="CD90" s="243"/>
      <c r="CE90" s="243"/>
      <c r="CF90" s="243"/>
      <c r="CG90" s="243"/>
      <c r="CH90" s="243"/>
      <c r="CI90" s="243"/>
      <c r="CJ90" s="243"/>
      <c r="CK90" s="243"/>
      <c r="CL90" s="243"/>
      <c r="CM90" s="243"/>
      <c r="CN90" s="243"/>
      <c r="CO90" s="243"/>
      <c r="CP90" s="243"/>
      <c r="CQ90" s="243"/>
      <c r="CR90" s="243"/>
      <c r="CS90" s="243"/>
      <c r="CT90" s="243"/>
      <c r="CU90" s="243"/>
      <c r="CV90" s="243"/>
      <c r="CW90" s="243"/>
      <c r="CX90" s="243"/>
      <c r="CY90" s="243"/>
      <c r="CZ90" s="243"/>
      <c r="DA90" s="243"/>
      <c r="DB90" s="243"/>
      <c r="DC90" s="243"/>
      <c r="DD90" s="243"/>
      <c r="DE90" s="243"/>
      <c r="DF90" s="243"/>
      <c r="DG90" s="243"/>
      <c r="DH90" s="243"/>
      <c r="DI90" s="243"/>
      <c r="DJ90" s="243"/>
      <c r="DK90" s="243"/>
      <c r="DL90" s="243"/>
      <c r="DM90" s="243"/>
      <c r="DN90" s="243"/>
      <c r="DO90" s="243"/>
      <c r="DP90" s="243"/>
      <c r="DQ90" s="243"/>
      <c r="DR90" s="243"/>
      <c r="DS90" s="243"/>
      <c r="DT90" s="243"/>
      <c r="DU90" s="243"/>
      <c r="DV90" s="243"/>
      <c r="DW90" s="243"/>
      <c r="DX90" s="243"/>
      <c r="DY90" s="243"/>
      <c r="DZ90" s="243"/>
      <c r="EA90" s="243"/>
      <c r="EB90" s="243"/>
      <c r="EC90" s="243"/>
      <c r="ED90" s="243"/>
      <c r="EE90" s="243"/>
      <c r="EF90" s="243"/>
      <c r="EG90" s="243"/>
      <c r="EH90" s="243"/>
      <c r="EI90" s="243"/>
      <c r="EJ90" s="243"/>
      <c r="EK90" s="243"/>
      <c r="EL90" s="243"/>
      <c r="EM90" s="243"/>
      <c r="EN90" s="243"/>
      <c r="EO90" s="243"/>
      <c r="EP90" s="243"/>
      <c r="EQ90" s="243"/>
      <c r="ER90" s="243"/>
      <c r="ES90" s="243"/>
      <c r="ET90" s="243"/>
      <c r="EU90" s="243"/>
      <c r="EV90" s="243"/>
      <c r="EW90" s="243"/>
      <c r="EX90" s="243"/>
      <c r="EY90" s="243"/>
      <c r="EZ90" s="243"/>
      <c r="FA90" s="243"/>
      <c r="FB90" s="243"/>
      <c r="FC90" s="243"/>
      <c r="FD90" s="243"/>
      <c r="FE90" s="243"/>
      <c r="FF90" s="243"/>
      <c r="FG90" s="243"/>
      <c r="FH90" s="243"/>
      <c r="FI90" s="243"/>
      <c r="FJ90" s="243"/>
      <c r="FK90" s="243"/>
      <c r="FL90" s="243"/>
      <c r="FM90" s="243"/>
      <c r="FN90" s="243"/>
      <c r="FO90" s="243"/>
      <c r="FP90" s="243"/>
      <c r="FQ90" s="243"/>
      <c r="FR90" s="243"/>
      <c r="FS90" s="243"/>
      <c r="FT90" s="243"/>
      <c r="FU90" s="243"/>
      <c r="FV90" s="243"/>
      <c r="FW90" s="243"/>
      <c r="FX90" s="243"/>
      <c r="FY90" s="243"/>
      <c r="FZ90" s="243"/>
      <c r="GA90" s="243"/>
      <c r="GB90" s="243"/>
      <c r="GC90" s="243"/>
      <c r="GD90" s="243"/>
      <c r="GE90" s="243"/>
      <c r="GF90" s="243"/>
      <c r="GG90" s="243"/>
      <c r="GH90" s="243"/>
      <c r="GI90" s="243"/>
      <c r="GJ90" s="243"/>
      <c r="GK90" s="243"/>
      <c r="GL90" s="243"/>
      <c r="GM90" s="243"/>
      <c r="GN90" s="243"/>
      <c r="GO90" s="243"/>
      <c r="GP90" s="243"/>
      <c r="GQ90" s="243"/>
      <c r="GR90" s="243"/>
      <c r="GS90" s="243"/>
      <c r="GT90" s="243"/>
      <c r="GU90" s="243"/>
      <c r="GV90" s="243"/>
      <c r="GW90" s="243"/>
      <c r="GX90" s="243"/>
      <c r="GY90" s="243"/>
      <c r="GZ90" s="243"/>
      <c r="HA90" s="243"/>
      <c r="HB90" s="243"/>
      <c r="HC90" s="243"/>
      <c r="HD90" s="243"/>
      <c r="HE90" s="243"/>
      <c r="HF90" s="243"/>
      <c r="HG90" s="243"/>
      <c r="HH90" s="243"/>
      <c r="HI90" s="243"/>
      <c r="HJ90" s="243"/>
      <c r="HK90" s="243"/>
      <c r="HL90" s="243"/>
      <c r="HM90" s="243"/>
      <c r="HN90" s="243"/>
      <c r="HO90" s="243"/>
      <c r="HP90" s="243"/>
      <c r="HQ90" s="243"/>
      <c r="HR90" s="243"/>
      <c r="HS90" s="243"/>
      <c r="HT90" s="243"/>
      <c r="HU90" s="243"/>
      <c r="HV90" s="243"/>
      <c r="HW90" s="243"/>
      <c r="HX90" s="243"/>
      <c r="HY90" s="243"/>
      <c r="HZ90" s="243"/>
      <c r="IA90" s="243"/>
    </row>
    <row r="91" spans="1:235" s="244" customFormat="1" ht="14.25" customHeight="1" x14ac:dyDescent="0.25">
      <c r="A91" s="241">
        <v>1</v>
      </c>
      <c r="B91" s="242" t="s">
        <v>108</v>
      </c>
      <c r="C91" s="363" t="s">
        <v>329</v>
      </c>
      <c r="D91" s="364" t="s">
        <v>124</v>
      </c>
      <c r="E91" s="365">
        <f>102.3+106.53</f>
        <v>208.82999999999998</v>
      </c>
      <c r="F91" s="63"/>
      <c r="G91" s="64"/>
      <c r="H91" s="65"/>
      <c r="I91" s="64"/>
      <c r="J91" s="64"/>
      <c r="K91" s="66"/>
      <c r="L91" s="67"/>
      <c r="M91" s="64"/>
      <c r="N91" s="64"/>
      <c r="O91" s="64"/>
      <c r="P91" s="68"/>
      <c r="Q91" s="69"/>
      <c r="R91" s="137"/>
      <c r="S91" s="69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243"/>
      <c r="AF91" s="243"/>
      <c r="AG91" s="243"/>
      <c r="AH91" s="243"/>
      <c r="AI91" s="243"/>
      <c r="AJ91" s="243"/>
      <c r="AK91" s="243"/>
      <c r="AL91" s="243"/>
      <c r="AM91" s="243"/>
      <c r="AN91" s="243"/>
      <c r="AO91" s="243"/>
      <c r="AP91" s="243"/>
      <c r="AQ91" s="243"/>
      <c r="AR91" s="243"/>
      <c r="AS91" s="243"/>
      <c r="AT91" s="243"/>
      <c r="AU91" s="243"/>
      <c r="AV91" s="243"/>
      <c r="AW91" s="243"/>
      <c r="AX91" s="243"/>
      <c r="AY91" s="243"/>
      <c r="AZ91" s="243"/>
      <c r="BA91" s="243"/>
      <c r="BB91" s="243"/>
      <c r="BC91" s="243"/>
      <c r="BD91" s="243"/>
      <c r="BE91" s="243"/>
      <c r="BF91" s="243"/>
      <c r="BG91" s="243"/>
      <c r="BH91" s="243"/>
      <c r="BI91" s="243"/>
      <c r="BJ91" s="243"/>
      <c r="BK91" s="243"/>
      <c r="BL91" s="243"/>
      <c r="BM91" s="243"/>
      <c r="BN91" s="243"/>
      <c r="BO91" s="243"/>
      <c r="BP91" s="243"/>
      <c r="BQ91" s="243"/>
      <c r="BR91" s="243"/>
      <c r="BS91" s="243"/>
      <c r="BT91" s="243"/>
      <c r="BU91" s="243"/>
      <c r="BV91" s="243"/>
      <c r="BW91" s="243"/>
      <c r="BX91" s="243"/>
      <c r="BY91" s="243"/>
      <c r="BZ91" s="243"/>
      <c r="CA91" s="243"/>
      <c r="CB91" s="243"/>
      <c r="CC91" s="243"/>
      <c r="CD91" s="243"/>
      <c r="CE91" s="243"/>
      <c r="CF91" s="243"/>
      <c r="CG91" s="243"/>
      <c r="CH91" s="243"/>
      <c r="CI91" s="243"/>
      <c r="CJ91" s="243"/>
      <c r="CK91" s="243"/>
      <c r="CL91" s="243"/>
      <c r="CM91" s="243"/>
      <c r="CN91" s="243"/>
      <c r="CO91" s="243"/>
      <c r="CP91" s="243"/>
      <c r="CQ91" s="243"/>
      <c r="CR91" s="243"/>
      <c r="CS91" s="243"/>
      <c r="CT91" s="243"/>
      <c r="CU91" s="243"/>
      <c r="CV91" s="243"/>
      <c r="CW91" s="243"/>
      <c r="CX91" s="243"/>
      <c r="CY91" s="243"/>
      <c r="CZ91" s="243"/>
      <c r="DA91" s="243"/>
      <c r="DB91" s="243"/>
      <c r="DC91" s="243"/>
      <c r="DD91" s="243"/>
      <c r="DE91" s="243"/>
      <c r="DF91" s="243"/>
      <c r="DG91" s="243"/>
      <c r="DH91" s="243"/>
      <c r="DI91" s="243"/>
      <c r="DJ91" s="243"/>
      <c r="DK91" s="243"/>
      <c r="DL91" s="243"/>
      <c r="DM91" s="243"/>
      <c r="DN91" s="243"/>
      <c r="DO91" s="243"/>
      <c r="DP91" s="243"/>
      <c r="DQ91" s="243"/>
      <c r="DR91" s="243"/>
      <c r="DS91" s="243"/>
      <c r="DT91" s="243"/>
      <c r="DU91" s="243"/>
      <c r="DV91" s="243"/>
      <c r="DW91" s="243"/>
      <c r="DX91" s="243"/>
      <c r="DY91" s="243"/>
      <c r="DZ91" s="243"/>
      <c r="EA91" s="243"/>
      <c r="EB91" s="243"/>
      <c r="EC91" s="243"/>
      <c r="ED91" s="243"/>
      <c r="EE91" s="243"/>
      <c r="EF91" s="243"/>
      <c r="EG91" s="243"/>
      <c r="EH91" s="243"/>
      <c r="EI91" s="243"/>
      <c r="EJ91" s="243"/>
      <c r="EK91" s="243"/>
      <c r="EL91" s="243"/>
      <c r="EM91" s="243"/>
      <c r="EN91" s="243"/>
      <c r="EO91" s="243"/>
      <c r="EP91" s="243"/>
      <c r="EQ91" s="243"/>
      <c r="ER91" s="243"/>
      <c r="ES91" s="243"/>
      <c r="ET91" s="243"/>
      <c r="EU91" s="243"/>
      <c r="EV91" s="243"/>
      <c r="EW91" s="243"/>
      <c r="EX91" s="243"/>
      <c r="EY91" s="243"/>
      <c r="EZ91" s="243"/>
      <c r="FA91" s="243"/>
      <c r="FB91" s="243"/>
      <c r="FC91" s="243"/>
      <c r="FD91" s="243"/>
      <c r="FE91" s="243"/>
      <c r="FF91" s="243"/>
      <c r="FG91" s="243"/>
      <c r="FH91" s="243"/>
      <c r="FI91" s="243"/>
      <c r="FJ91" s="243"/>
      <c r="FK91" s="243"/>
      <c r="FL91" s="243"/>
      <c r="FM91" s="243"/>
      <c r="FN91" s="243"/>
      <c r="FO91" s="243"/>
      <c r="FP91" s="243"/>
      <c r="FQ91" s="243"/>
      <c r="FR91" s="243"/>
      <c r="FS91" s="243"/>
      <c r="FT91" s="243"/>
      <c r="FU91" s="243"/>
      <c r="FV91" s="243"/>
      <c r="FW91" s="243"/>
      <c r="FX91" s="243"/>
      <c r="FY91" s="243"/>
      <c r="FZ91" s="243"/>
      <c r="GA91" s="243"/>
      <c r="GB91" s="243"/>
      <c r="GC91" s="243"/>
      <c r="GD91" s="243"/>
      <c r="GE91" s="243"/>
      <c r="GF91" s="243"/>
      <c r="GG91" s="243"/>
      <c r="GH91" s="243"/>
      <c r="GI91" s="243"/>
      <c r="GJ91" s="243"/>
      <c r="GK91" s="243"/>
      <c r="GL91" s="243"/>
      <c r="GM91" s="243"/>
      <c r="GN91" s="243"/>
      <c r="GO91" s="243"/>
      <c r="GP91" s="243"/>
      <c r="GQ91" s="243"/>
      <c r="GR91" s="243"/>
      <c r="GS91" s="243"/>
      <c r="GT91" s="243"/>
      <c r="GU91" s="243"/>
      <c r="GV91" s="243"/>
      <c r="GW91" s="243"/>
      <c r="GX91" s="243"/>
      <c r="GY91" s="243"/>
      <c r="GZ91" s="243"/>
      <c r="HA91" s="243"/>
      <c r="HB91" s="243"/>
      <c r="HC91" s="243"/>
      <c r="HD91" s="243"/>
      <c r="HE91" s="243"/>
      <c r="HF91" s="243"/>
      <c r="HG91" s="243"/>
      <c r="HH91" s="243"/>
      <c r="HI91" s="243"/>
      <c r="HJ91" s="243"/>
      <c r="HK91" s="243"/>
      <c r="HL91" s="243"/>
      <c r="HM91" s="243"/>
      <c r="HN91" s="243"/>
      <c r="HO91" s="243"/>
      <c r="HP91" s="243"/>
      <c r="HQ91" s="243"/>
      <c r="HR91" s="243"/>
      <c r="HS91" s="243"/>
      <c r="HT91" s="243"/>
      <c r="HU91" s="243"/>
      <c r="HV91" s="243"/>
      <c r="HW91" s="243"/>
      <c r="HX91" s="243"/>
      <c r="HY91" s="243"/>
      <c r="HZ91" s="243"/>
      <c r="IA91" s="243"/>
    </row>
    <row r="92" spans="1:235" s="244" customFormat="1" ht="14.25" customHeight="1" x14ac:dyDescent="0.25">
      <c r="A92" s="241">
        <v>2</v>
      </c>
      <c r="B92" s="242"/>
      <c r="C92" s="366" t="s">
        <v>176</v>
      </c>
      <c r="D92" s="364" t="s">
        <v>177</v>
      </c>
      <c r="E92" s="365">
        <f>E91*0.17</f>
        <v>35.501100000000001</v>
      </c>
      <c r="F92" s="63"/>
      <c r="G92" s="64"/>
      <c r="H92" s="65"/>
      <c r="I92" s="64"/>
      <c r="J92" s="64"/>
      <c r="K92" s="66"/>
      <c r="L92" s="67"/>
      <c r="M92" s="64"/>
      <c r="N92" s="64"/>
      <c r="O92" s="64"/>
      <c r="P92" s="68"/>
      <c r="Q92" s="69"/>
      <c r="R92" s="137"/>
      <c r="S92" s="69"/>
      <c r="T92" s="243"/>
      <c r="U92" s="243"/>
      <c r="V92" s="243"/>
      <c r="W92" s="243"/>
      <c r="X92" s="243"/>
      <c r="Y92" s="243"/>
      <c r="Z92" s="243"/>
      <c r="AA92" s="243"/>
      <c r="AB92" s="243"/>
      <c r="AC92" s="243"/>
      <c r="AD92" s="243"/>
      <c r="AE92" s="243"/>
      <c r="AF92" s="243"/>
      <c r="AG92" s="243"/>
      <c r="AH92" s="243"/>
      <c r="AI92" s="243"/>
      <c r="AJ92" s="243"/>
      <c r="AK92" s="243"/>
      <c r="AL92" s="243"/>
      <c r="AM92" s="243"/>
      <c r="AN92" s="243"/>
      <c r="AO92" s="243"/>
      <c r="AP92" s="243"/>
      <c r="AQ92" s="243"/>
      <c r="AR92" s="243"/>
      <c r="AS92" s="243"/>
      <c r="AT92" s="243"/>
      <c r="AU92" s="243"/>
      <c r="AV92" s="243"/>
      <c r="AW92" s="243"/>
      <c r="AX92" s="243"/>
      <c r="AY92" s="243"/>
      <c r="AZ92" s="243"/>
      <c r="BA92" s="243"/>
      <c r="BB92" s="243"/>
      <c r="BC92" s="243"/>
      <c r="BD92" s="243"/>
      <c r="BE92" s="243"/>
      <c r="BF92" s="243"/>
      <c r="BG92" s="243"/>
      <c r="BH92" s="243"/>
      <c r="BI92" s="243"/>
      <c r="BJ92" s="243"/>
      <c r="BK92" s="243"/>
      <c r="BL92" s="243"/>
      <c r="BM92" s="243"/>
      <c r="BN92" s="243"/>
      <c r="BO92" s="243"/>
      <c r="BP92" s="243"/>
      <c r="BQ92" s="243"/>
      <c r="BR92" s="243"/>
      <c r="BS92" s="243"/>
      <c r="BT92" s="243"/>
      <c r="BU92" s="243"/>
      <c r="BV92" s="243"/>
      <c r="BW92" s="243"/>
      <c r="BX92" s="243"/>
      <c r="BY92" s="243"/>
      <c r="BZ92" s="243"/>
      <c r="CA92" s="243"/>
      <c r="CB92" s="243"/>
      <c r="CC92" s="243"/>
      <c r="CD92" s="243"/>
      <c r="CE92" s="243"/>
      <c r="CF92" s="243"/>
      <c r="CG92" s="243"/>
      <c r="CH92" s="243"/>
      <c r="CI92" s="243"/>
      <c r="CJ92" s="243"/>
      <c r="CK92" s="243"/>
      <c r="CL92" s="243"/>
      <c r="CM92" s="243"/>
      <c r="CN92" s="243"/>
      <c r="CO92" s="243"/>
      <c r="CP92" s="243"/>
      <c r="CQ92" s="243"/>
      <c r="CR92" s="243"/>
      <c r="CS92" s="243"/>
      <c r="CT92" s="243"/>
      <c r="CU92" s="243"/>
      <c r="CV92" s="243"/>
      <c r="CW92" s="243"/>
      <c r="CX92" s="243"/>
      <c r="CY92" s="243"/>
      <c r="CZ92" s="243"/>
      <c r="DA92" s="243"/>
      <c r="DB92" s="243"/>
      <c r="DC92" s="243"/>
      <c r="DD92" s="243"/>
      <c r="DE92" s="243"/>
      <c r="DF92" s="243"/>
      <c r="DG92" s="243"/>
      <c r="DH92" s="243"/>
      <c r="DI92" s="243"/>
      <c r="DJ92" s="243"/>
      <c r="DK92" s="243"/>
      <c r="DL92" s="243"/>
      <c r="DM92" s="243"/>
      <c r="DN92" s="243"/>
      <c r="DO92" s="243"/>
      <c r="DP92" s="243"/>
      <c r="DQ92" s="243"/>
      <c r="DR92" s="243"/>
      <c r="DS92" s="243"/>
      <c r="DT92" s="243"/>
      <c r="DU92" s="243"/>
      <c r="DV92" s="243"/>
      <c r="DW92" s="243"/>
      <c r="DX92" s="243"/>
      <c r="DY92" s="243"/>
      <c r="DZ92" s="243"/>
      <c r="EA92" s="243"/>
      <c r="EB92" s="243"/>
      <c r="EC92" s="243"/>
      <c r="ED92" s="243"/>
      <c r="EE92" s="243"/>
      <c r="EF92" s="243"/>
      <c r="EG92" s="243"/>
      <c r="EH92" s="243"/>
      <c r="EI92" s="243"/>
      <c r="EJ92" s="243"/>
      <c r="EK92" s="243"/>
      <c r="EL92" s="243"/>
      <c r="EM92" s="243"/>
      <c r="EN92" s="243"/>
      <c r="EO92" s="243"/>
      <c r="EP92" s="243"/>
      <c r="EQ92" s="243"/>
      <c r="ER92" s="243"/>
      <c r="ES92" s="243"/>
      <c r="ET92" s="243"/>
      <c r="EU92" s="243"/>
      <c r="EV92" s="243"/>
      <c r="EW92" s="243"/>
      <c r="EX92" s="243"/>
      <c r="EY92" s="243"/>
      <c r="EZ92" s="243"/>
      <c r="FA92" s="243"/>
      <c r="FB92" s="243"/>
      <c r="FC92" s="243"/>
      <c r="FD92" s="243"/>
      <c r="FE92" s="243"/>
      <c r="FF92" s="243"/>
      <c r="FG92" s="243"/>
      <c r="FH92" s="243"/>
      <c r="FI92" s="243"/>
      <c r="FJ92" s="243"/>
      <c r="FK92" s="243"/>
      <c r="FL92" s="243"/>
      <c r="FM92" s="243"/>
      <c r="FN92" s="243"/>
      <c r="FO92" s="243"/>
      <c r="FP92" s="243"/>
      <c r="FQ92" s="243"/>
      <c r="FR92" s="243"/>
      <c r="FS92" s="243"/>
      <c r="FT92" s="243"/>
      <c r="FU92" s="243"/>
      <c r="FV92" s="243"/>
      <c r="FW92" s="243"/>
      <c r="FX92" s="243"/>
      <c r="FY92" s="243"/>
      <c r="FZ92" s="243"/>
      <c r="GA92" s="243"/>
      <c r="GB92" s="243"/>
      <c r="GC92" s="243"/>
      <c r="GD92" s="243"/>
      <c r="GE92" s="243"/>
      <c r="GF92" s="243"/>
      <c r="GG92" s="243"/>
      <c r="GH92" s="243"/>
      <c r="GI92" s="243"/>
      <c r="GJ92" s="243"/>
      <c r="GK92" s="243"/>
      <c r="GL92" s="243"/>
      <c r="GM92" s="243"/>
      <c r="GN92" s="243"/>
      <c r="GO92" s="243"/>
      <c r="GP92" s="243"/>
      <c r="GQ92" s="243"/>
      <c r="GR92" s="243"/>
      <c r="GS92" s="243"/>
      <c r="GT92" s="243"/>
      <c r="GU92" s="243"/>
      <c r="GV92" s="243"/>
      <c r="GW92" s="243"/>
      <c r="GX92" s="243"/>
      <c r="GY92" s="243"/>
      <c r="GZ92" s="243"/>
      <c r="HA92" s="243"/>
      <c r="HB92" s="243"/>
      <c r="HC92" s="243"/>
      <c r="HD92" s="243"/>
      <c r="HE92" s="243"/>
      <c r="HF92" s="243"/>
      <c r="HG92" s="243"/>
      <c r="HH92" s="243"/>
      <c r="HI92" s="243"/>
      <c r="HJ92" s="243"/>
      <c r="HK92" s="243"/>
      <c r="HL92" s="243"/>
      <c r="HM92" s="243"/>
      <c r="HN92" s="243"/>
      <c r="HO92" s="243"/>
      <c r="HP92" s="243"/>
      <c r="HQ92" s="243"/>
      <c r="HR92" s="243"/>
      <c r="HS92" s="243"/>
      <c r="HT92" s="243"/>
      <c r="HU92" s="243"/>
      <c r="HV92" s="243"/>
      <c r="HW92" s="243"/>
      <c r="HX92" s="243"/>
      <c r="HY92" s="243"/>
      <c r="HZ92" s="243"/>
      <c r="IA92" s="243"/>
    </row>
    <row r="93" spans="1:235" s="244" customFormat="1" ht="14.25" customHeight="1" x14ac:dyDescent="0.25">
      <c r="A93" s="241">
        <v>3</v>
      </c>
      <c r="B93" s="242"/>
      <c r="C93" s="366" t="s">
        <v>179</v>
      </c>
      <c r="D93" s="364" t="s">
        <v>180</v>
      </c>
      <c r="E93" s="365">
        <f>E91*15*1.15</f>
        <v>3602.3174999999997</v>
      </c>
      <c r="F93" s="63"/>
      <c r="G93" s="64"/>
      <c r="H93" s="65"/>
      <c r="I93" s="64"/>
      <c r="J93" s="64"/>
      <c r="K93" s="66"/>
      <c r="L93" s="67"/>
      <c r="M93" s="64"/>
      <c r="N93" s="64"/>
      <c r="O93" s="64"/>
      <c r="P93" s="68"/>
      <c r="Q93" s="69"/>
      <c r="R93" s="137"/>
      <c r="S93" s="69"/>
      <c r="T93" s="243"/>
      <c r="U93" s="243"/>
      <c r="V93" s="243"/>
      <c r="W93" s="243"/>
      <c r="X93" s="243"/>
      <c r="Y93" s="243"/>
      <c r="Z93" s="243"/>
      <c r="AA93" s="243"/>
      <c r="AB93" s="243"/>
      <c r="AC93" s="243"/>
      <c r="AD93" s="243"/>
      <c r="AE93" s="243"/>
      <c r="AF93" s="243"/>
      <c r="AG93" s="243"/>
      <c r="AH93" s="243"/>
      <c r="AI93" s="243"/>
      <c r="AJ93" s="243"/>
      <c r="AK93" s="243"/>
      <c r="AL93" s="243"/>
      <c r="AM93" s="243"/>
      <c r="AN93" s="243"/>
      <c r="AO93" s="243"/>
      <c r="AP93" s="243"/>
      <c r="AQ93" s="243"/>
      <c r="AR93" s="243"/>
      <c r="AS93" s="243"/>
      <c r="AT93" s="243"/>
      <c r="AU93" s="243"/>
      <c r="AV93" s="243"/>
      <c r="AW93" s="243"/>
      <c r="AX93" s="243"/>
      <c r="AY93" s="243"/>
      <c r="AZ93" s="243"/>
      <c r="BA93" s="243"/>
      <c r="BB93" s="243"/>
      <c r="BC93" s="243"/>
      <c r="BD93" s="243"/>
      <c r="BE93" s="243"/>
      <c r="BF93" s="243"/>
      <c r="BG93" s="243"/>
      <c r="BH93" s="243"/>
      <c r="BI93" s="243"/>
      <c r="BJ93" s="243"/>
      <c r="BK93" s="243"/>
      <c r="BL93" s="243"/>
      <c r="BM93" s="243"/>
      <c r="BN93" s="243"/>
      <c r="BO93" s="243"/>
      <c r="BP93" s="243"/>
      <c r="BQ93" s="243"/>
      <c r="BR93" s="243"/>
      <c r="BS93" s="243"/>
      <c r="BT93" s="243"/>
      <c r="BU93" s="243"/>
      <c r="BV93" s="243"/>
      <c r="BW93" s="243"/>
      <c r="BX93" s="243"/>
      <c r="BY93" s="243"/>
      <c r="BZ93" s="243"/>
      <c r="CA93" s="243"/>
      <c r="CB93" s="243"/>
      <c r="CC93" s="243"/>
      <c r="CD93" s="243"/>
      <c r="CE93" s="243"/>
      <c r="CF93" s="243"/>
      <c r="CG93" s="243"/>
      <c r="CH93" s="243"/>
      <c r="CI93" s="243"/>
      <c r="CJ93" s="243"/>
      <c r="CK93" s="243"/>
      <c r="CL93" s="243"/>
      <c r="CM93" s="243"/>
      <c r="CN93" s="243"/>
      <c r="CO93" s="243"/>
      <c r="CP93" s="243"/>
      <c r="CQ93" s="243"/>
      <c r="CR93" s="243"/>
      <c r="CS93" s="243"/>
      <c r="CT93" s="243"/>
      <c r="CU93" s="243"/>
      <c r="CV93" s="243"/>
      <c r="CW93" s="243"/>
      <c r="CX93" s="243"/>
      <c r="CY93" s="243"/>
      <c r="CZ93" s="243"/>
      <c r="DA93" s="243"/>
      <c r="DB93" s="243"/>
      <c r="DC93" s="243"/>
      <c r="DD93" s="243"/>
      <c r="DE93" s="243"/>
      <c r="DF93" s="243"/>
      <c r="DG93" s="243"/>
      <c r="DH93" s="243"/>
      <c r="DI93" s="243"/>
      <c r="DJ93" s="243"/>
      <c r="DK93" s="243"/>
      <c r="DL93" s="243"/>
      <c r="DM93" s="243"/>
      <c r="DN93" s="243"/>
      <c r="DO93" s="243"/>
      <c r="DP93" s="243"/>
      <c r="DQ93" s="243"/>
      <c r="DR93" s="243"/>
      <c r="DS93" s="243"/>
      <c r="DT93" s="243"/>
      <c r="DU93" s="243"/>
      <c r="DV93" s="243"/>
      <c r="DW93" s="243"/>
      <c r="DX93" s="243"/>
      <c r="DY93" s="243"/>
      <c r="DZ93" s="243"/>
      <c r="EA93" s="243"/>
      <c r="EB93" s="243"/>
      <c r="EC93" s="243"/>
      <c r="ED93" s="243"/>
      <c r="EE93" s="243"/>
      <c r="EF93" s="243"/>
      <c r="EG93" s="243"/>
      <c r="EH93" s="243"/>
      <c r="EI93" s="243"/>
      <c r="EJ93" s="243"/>
      <c r="EK93" s="243"/>
      <c r="EL93" s="243"/>
      <c r="EM93" s="243"/>
      <c r="EN93" s="243"/>
      <c r="EO93" s="243"/>
      <c r="EP93" s="243"/>
      <c r="EQ93" s="243"/>
      <c r="ER93" s="243"/>
      <c r="ES93" s="243"/>
      <c r="ET93" s="243"/>
      <c r="EU93" s="243"/>
      <c r="EV93" s="243"/>
      <c r="EW93" s="243"/>
      <c r="EX93" s="243"/>
      <c r="EY93" s="243"/>
      <c r="EZ93" s="243"/>
      <c r="FA93" s="243"/>
      <c r="FB93" s="243"/>
      <c r="FC93" s="243"/>
      <c r="FD93" s="243"/>
      <c r="FE93" s="243"/>
      <c r="FF93" s="243"/>
      <c r="FG93" s="243"/>
      <c r="FH93" s="243"/>
      <c r="FI93" s="243"/>
      <c r="FJ93" s="243"/>
      <c r="FK93" s="243"/>
      <c r="FL93" s="243"/>
      <c r="FM93" s="243"/>
      <c r="FN93" s="243"/>
      <c r="FO93" s="243"/>
      <c r="FP93" s="243"/>
      <c r="FQ93" s="243"/>
      <c r="FR93" s="243"/>
      <c r="FS93" s="243"/>
      <c r="FT93" s="243"/>
      <c r="FU93" s="243"/>
      <c r="FV93" s="243"/>
      <c r="FW93" s="243"/>
      <c r="FX93" s="243"/>
      <c r="FY93" s="243"/>
      <c r="FZ93" s="243"/>
      <c r="GA93" s="243"/>
      <c r="GB93" s="243"/>
      <c r="GC93" s="243"/>
      <c r="GD93" s="243"/>
      <c r="GE93" s="243"/>
      <c r="GF93" s="243"/>
      <c r="GG93" s="243"/>
      <c r="GH93" s="243"/>
      <c r="GI93" s="243"/>
      <c r="GJ93" s="243"/>
      <c r="GK93" s="243"/>
      <c r="GL93" s="243"/>
      <c r="GM93" s="243"/>
      <c r="GN93" s="243"/>
      <c r="GO93" s="243"/>
      <c r="GP93" s="243"/>
      <c r="GQ93" s="243"/>
      <c r="GR93" s="243"/>
      <c r="GS93" s="243"/>
      <c r="GT93" s="243"/>
      <c r="GU93" s="243"/>
      <c r="GV93" s="243"/>
      <c r="GW93" s="243"/>
      <c r="GX93" s="243"/>
      <c r="GY93" s="243"/>
      <c r="GZ93" s="243"/>
      <c r="HA93" s="243"/>
      <c r="HB93" s="243"/>
      <c r="HC93" s="243"/>
      <c r="HD93" s="243"/>
      <c r="HE93" s="243"/>
      <c r="HF93" s="243"/>
      <c r="HG93" s="243"/>
      <c r="HH93" s="243"/>
      <c r="HI93" s="243"/>
      <c r="HJ93" s="243"/>
      <c r="HK93" s="243"/>
      <c r="HL93" s="243"/>
      <c r="HM93" s="243"/>
      <c r="HN93" s="243"/>
      <c r="HO93" s="243"/>
      <c r="HP93" s="243"/>
      <c r="HQ93" s="243"/>
      <c r="HR93" s="243"/>
      <c r="HS93" s="243"/>
      <c r="HT93" s="243"/>
      <c r="HU93" s="243"/>
      <c r="HV93" s="243"/>
      <c r="HW93" s="243"/>
      <c r="HX93" s="243"/>
      <c r="HY93" s="243"/>
      <c r="HZ93" s="243"/>
      <c r="IA93" s="243"/>
    </row>
    <row r="94" spans="1:235" s="244" customFormat="1" ht="14.25" customHeight="1" x14ac:dyDescent="0.25">
      <c r="A94" s="241">
        <v>4</v>
      </c>
      <c r="B94" s="242"/>
      <c r="C94" s="366" t="s">
        <v>330</v>
      </c>
      <c r="D94" s="364" t="s">
        <v>110</v>
      </c>
      <c r="E94" s="365">
        <f>E91</f>
        <v>208.82999999999998</v>
      </c>
      <c r="F94" s="63"/>
      <c r="G94" s="64"/>
      <c r="H94" s="65"/>
      <c r="I94" s="64"/>
      <c r="J94" s="64"/>
      <c r="K94" s="66"/>
      <c r="L94" s="67"/>
      <c r="M94" s="64"/>
      <c r="N94" s="64"/>
      <c r="O94" s="64"/>
      <c r="P94" s="68"/>
      <c r="Q94" s="69"/>
      <c r="R94" s="137"/>
      <c r="S94" s="69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3"/>
      <c r="AI94" s="243"/>
      <c r="AJ94" s="243"/>
      <c r="AK94" s="243"/>
      <c r="AL94" s="243"/>
      <c r="AM94" s="243"/>
      <c r="AN94" s="243"/>
      <c r="AO94" s="243"/>
      <c r="AP94" s="243"/>
      <c r="AQ94" s="243"/>
      <c r="AR94" s="243"/>
      <c r="AS94" s="243"/>
      <c r="AT94" s="243"/>
      <c r="AU94" s="243"/>
      <c r="AV94" s="243"/>
      <c r="AW94" s="243"/>
      <c r="AX94" s="243"/>
      <c r="AY94" s="243"/>
      <c r="AZ94" s="243"/>
      <c r="BA94" s="243"/>
      <c r="BB94" s="243"/>
      <c r="BC94" s="243"/>
      <c r="BD94" s="243"/>
      <c r="BE94" s="243"/>
      <c r="BF94" s="243"/>
      <c r="BG94" s="243"/>
      <c r="BH94" s="243"/>
      <c r="BI94" s="243"/>
      <c r="BJ94" s="243"/>
      <c r="BK94" s="243"/>
      <c r="BL94" s="243"/>
      <c r="BM94" s="243"/>
      <c r="BN94" s="243"/>
      <c r="BO94" s="243"/>
      <c r="BP94" s="243"/>
      <c r="BQ94" s="243"/>
      <c r="BR94" s="243"/>
      <c r="BS94" s="243"/>
      <c r="BT94" s="243"/>
      <c r="BU94" s="243"/>
      <c r="BV94" s="243"/>
      <c r="BW94" s="243"/>
      <c r="BX94" s="243"/>
      <c r="BY94" s="243"/>
      <c r="BZ94" s="243"/>
      <c r="CA94" s="243"/>
      <c r="CB94" s="243"/>
      <c r="CC94" s="243"/>
      <c r="CD94" s="243"/>
      <c r="CE94" s="243"/>
      <c r="CF94" s="243"/>
      <c r="CG94" s="243"/>
      <c r="CH94" s="243"/>
      <c r="CI94" s="243"/>
      <c r="CJ94" s="243"/>
      <c r="CK94" s="243"/>
      <c r="CL94" s="243"/>
      <c r="CM94" s="243"/>
      <c r="CN94" s="243"/>
      <c r="CO94" s="243"/>
      <c r="CP94" s="243"/>
      <c r="CQ94" s="243"/>
      <c r="CR94" s="243"/>
      <c r="CS94" s="243"/>
      <c r="CT94" s="243"/>
      <c r="CU94" s="243"/>
      <c r="CV94" s="243"/>
      <c r="CW94" s="243"/>
      <c r="CX94" s="243"/>
      <c r="CY94" s="243"/>
      <c r="CZ94" s="243"/>
      <c r="DA94" s="243"/>
      <c r="DB94" s="243"/>
      <c r="DC94" s="243"/>
      <c r="DD94" s="243"/>
      <c r="DE94" s="243"/>
      <c r="DF94" s="243"/>
      <c r="DG94" s="243"/>
      <c r="DH94" s="243"/>
      <c r="DI94" s="243"/>
      <c r="DJ94" s="243"/>
      <c r="DK94" s="243"/>
      <c r="DL94" s="243"/>
      <c r="DM94" s="243"/>
      <c r="DN94" s="243"/>
      <c r="DO94" s="243"/>
      <c r="DP94" s="243"/>
      <c r="DQ94" s="243"/>
      <c r="DR94" s="243"/>
      <c r="DS94" s="243"/>
      <c r="DT94" s="243"/>
      <c r="DU94" s="243"/>
      <c r="DV94" s="243"/>
      <c r="DW94" s="243"/>
      <c r="DX94" s="243"/>
      <c r="DY94" s="243"/>
      <c r="DZ94" s="243"/>
      <c r="EA94" s="243"/>
      <c r="EB94" s="243"/>
      <c r="EC94" s="243"/>
      <c r="ED94" s="243"/>
      <c r="EE94" s="243"/>
      <c r="EF94" s="243"/>
      <c r="EG94" s="243"/>
      <c r="EH94" s="243"/>
      <c r="EI94" s="243"/>
      <c r="EJ94" s="243"/>
      <c r="EK94" s="243"/>
      <c r="EL94" s="243"/>
      <c r="EM94" s="243"/>
      <c r="EN94" s="243"/>
      <c r="EO94" s="243"/>
      <c r="EP94" s="243"/>
      <c r="EQ94" s="243"/>
      <c r="ER94" s="243"/>
      <c r="ES94" s="243"/>
      <c r="ET94" s="243"/>
      <c r="EU94" s="243"/>
      <c r="EV94" s="243"/>
      <c r="EW94" s="243"/>
      <c r="EX94" s="243"/>
      <c r="EY94" s="243"/>
      <c r="EZ94" s="243"/>
      <c r="FA94" s="243"/>
      <c r="FB94" s="243"/>
      <c r="FC94" s="243"/>
      <c r="FD94" s="243"/>
      <c r="FE94" s="243"/>
      <c r="FF94" s="243"/>
      <c r="FG94" s="243"/>
      <c r="FH94" s="243"/>
      <c r="FI94" s="243"/>
      <c r="FJ94" s="243"/>
      <c r="FK94" s="243"/>
      <c r="FL94" s="243"/>
      <c r="FM94" s="243"/>
      <c r="FN94" s="243"/>
      <c r="FO94" s="243"/>
      <c r="FP94" s="243"/>
      <c r="FQ94" s="243"/>
      <c r="FR94" s="243"/>
      <c r="FS94" s="243"/>
      <c r="FT94" s="243"/>
      <c r="FU94" s="243"/>
      <c r="FV94" s="243"/>
      <c r="FW94" s="243"/>
      <c r="FX94" s="243"/>
      <c r="FY94" s="243"/>
      <c r="FZ94" s="243"/>
      <c r="GA94" s="243"/>
      <c r="GB94" s="243"/>
      <c r="GC94" s="243"/>
      <c r="GD94" s="243"/>
      <c r="GE94" s="243"/>
      <c r="GF94" s="243"/>
      <c r="GG94" s="243"/>
      <c r="GH94" s="243"/>
      <c r="GI94" s="243"/>
      <c r="GJ94" s="243"/>
      <c r="GK94" s="243"/>
      <c r="GL94" s="243"/>
      <c r="GM94" s="243"/>
      <c r="GN94" s="243"/>
      <c r="GO94" s="243"/>
      <c r="GP94" s="243"/>
      <c r="GQ94" s="243"/>
      <c r="GR94" s="243"/>
      <c r="GS94" s="243"/>
      <c r="GT94" s="243"/>
      <c r="GU94" s="243"/>
      <c r="GV94" s="243"/>
      <c r="GW94" s="243"/>
      <c r="GX94" s="243"/>
      <c r="GY94" s="243"/>
      <c r="GZ94" s="243"/>
      <c r="HA94" s="243"/>
      <c r="HB94" s="243"/>
      <c r="HC94" s="243"/>
      <c r="HD94" s="243"/>
      <c r="HE94" s="243"/>
      <c r="HF94" s="243"/>
      <c r="HG94" s="243"/>
      <c r="HH94" s="243"/>
      <c r="HI94" s="243"/>
      <c r="HJ94" s="243"/>
      <c r="HK94" s="243"/>
      <c r="HL94" s="243"/>
      <c r="HM94" s="243"/>
      <c r="HN94" s="243"/>
      <c r="HO94" s="243"/>
      <c r="HP94" s="243"/>
      <c r="HQ94" s="243"/>
      <c r="HR94" s="243"/>
      <c r="HS94" s="243"/>
      <c r="HT94" s="243"/>
      <c r="HU94" s="243"/>
      <c r="HV94" s="243"/>
      <c r="HW94" s="243"/>
      <c r="HX94" s="243"/>
      <c r="HY94" s="243"/>
      <c r="HZ94" s="243"/>
      <c r="IA94" s="243"/>
    </row>
    <row r="95" spans="1:235" s="244" customFormat="1" ht="14.25" customHeight="1" x14ac:dyDescent="0.25">
      <c r="A95" s="241">
        <v>5</v>
      </c>
      <c r="B95" s="242"/>
      <c r="C95" s="366" t="s">
        <v>246</v>
      </c>
      <c r="D95" s="364" t="s">
        <v>124</v>
      </c>
      <c r="E95" s="365">
        <f>E91</f>
        <v>208.82999999999998</v>
      </c>
      <c r="F95" s="63"/>
      <c r="G95" s="64"/>
      <c r="H95" s="65"/>
      <c r="I95" s="64"/>
      <c r="J95" s="64"/>
      <c r="K95" s="66"/>
      <c r="L95" s="67"/>
      <c r="M95" s="64"/>
      <c r="N95" s="64"/>
      <c r="O95" s="64"/>
      <c r="P95" s="68"/>
      <c r="Q95" s="69"/>
      <c r="R95" s="137"/>
      <c r="S95" s="69"/>
      <c r="T95" s="243"/>
      <c r="U95" s="243"/>
      <c r="V95" s="243"/>
      <c r="W95" s="243"/>
      <c r="X95" s="243"/>
      <c r="Y95" s="243"/>
      <c r="Z95" s="243"/>
      <c r="AA95" s="243"/>
      <c r="AB95" s="243"/>
      <c r="AC95" s="243"/>
      <c r="AD95" s="243"/>
      <c r="AE95" s="243"/>
      <c r="AF95" s="243"/>
      <c r="AG95" s="243"/>
      <c r="AH95" s="243"/>
      <c r="AI95" s="243"/>
      <c r="AJ95" s="243"/>
      <c r="AK95" s="243"/>
      <c r="AL95" s="243"/>
      <c r="AM95" s="243"/>
      <c r="AN95" s="243"/>
      <c r="AO95" s="243"/>
      <c r="AP95" s="243"/>
      <c r="AQ95" s="243"/>
      <c r="AR95" s="243"/>
      <c r="AS95" s="243"/>
      <c r="AT95" s="243"/>
      <c r="AU95" s="243"/>
      <c r="AV95" s="243"/>
      <c r="AW95" s="243"/>
      <c r="AX95" s="243"/>
      <c r="AY95" s="243"/>
      <c r="AZ95" s="243"/>
      <c r="BA95" s="243"/>
      <c r="BB95" s="243"/>
      <c r="BC95" s="243"/>
      <c r="BD95" s="243"/>
      <c r="BE95" s="243"/>
      <c r="BF95" s="243"/>
      <c r="BG95" s="243"/>
      <c r="BH95" s="243"/>
      <c r="BI95" s="243"/>
      <c r="BJ95" s="243"/>
      <c r="BK95" s="243"/>
      <c r="BL95" s="243"/>
      <c r="BM95" s="243"/>
      <c r="BN95" s="243"/>
      <c r="BO95" s="243"/>
      <c r="BP95" s="243"/>
      <c r="BQ95" s="243"/>
      <c r="BR95" s="243"/>
      <c r="BS95" s="243"/>
      <c r="BT95" s="243"/>
      <c r="BU95" s="243"/>
      <c r="BV95" s="243"/>
      <c r="BW95" s="243"/>
      <c r="BX95" s="243"/>
      <c r="BY95" s="243"/>
      <c r="BZ95" s="243"/>
      <c r="CA95" s="243"/>
      <c r="CB95" s="243"/>
      <c r="CC95" s="243"/>
      <c r="CD95" s="243"/>
      <c r="CE95" s="243"/>
      <c r="CF95" s="243"/>
      <c r="CG95" s="243"/>
      <c r="CH95" s="243"/>
      <c r="CI95" s="243"/>
      <c r="CJ95" s="243"/>
      <c r="CK95" s="243"/>
      <c r="CL95" s="243"/>
      <c r="CM95" s="243"/>
      <c r="CN95" s="243"/>
      <c r="CO95" s="243"/>
      <c r="CP95" s="243"/>
      <c r="CQ95" s="243"/>
      <c r="CR95" s="243"/>
      <c r="CS95" s="243"/>
      <c r="CT95" s="243"/>
      <c r="CU95" s="243"/>
      <c r="CV95" s="243"/>
      <c r="CW95" s="243"/>
      <c r="CX95" s="243"/>
      <c r="CY95" s="243"/>
      <c r="CZ95" s="243"/>
      <c r="DA95" s="243"/>
      <c r="DB95" s="243"/>
      <c r="DC95" s="243"/>
      <c r="DD95" s="243"/>
      <c r="DE95" s="243"/>
      <c r="DF95" s="243"/>
      <c r="DG95" s="243"/>
      <c r="DH95" s="243"/>
      <c r="DI95" s="243"/>
      <c r="DJ95" s="243"/>
      <c r="DK95" s="243"/>
      <c r="DL95" s="243"/>
      <c r="DM95" s="243"/>
      <c r="DN95" s="243"/>
      <c r="DO95" s="243"/>
      <c r="DP95" s="243"/>
      <c r="DQ95" s="243"/>
      <c r="DR95" s="243"/>
      <c r="DS95" s="243"/>
      <c r="DT95" s="243"/>
      <c r="DU95" s="243"/>
      <c r="DV95" s="243"/>
      <c r="DW95" s="243"/>
      <c r="DX95" s="243"/>
      <c r="DY95" s="243"/>
      <c r="DZ95" s="243"/>
      <c r="EA95" s="243"/>
      <c r="EB95" s="243"/>
      <c r="EC95" s="243"/>
      <c r="ED95" s="243"/>
      <c r="EE95" s="243"/>
      <c r="EF95" s="243"/>
      <c r="EG95" s="243"/>
      <c r="EH95" s="243"/>
      <c r="EI95" s="243"/>
      <c r="EJ95" s="243"/>
      <c r="EK95" s="243"/>
      <c r="EL95" s="243"/>
      <c r="EM95" s="243"/>
      <c r="EN95" s="243"/>
      <c r="EO95" s="243"/>
      <c r="EP95" s="243"/>
      <c r="EQ95" s="243"/>
      <c r="ER95" s="243"/>
      <c r="ES95" s="243"/>
      <c r="ET95" s="243"/>
      <c r="EU95" s="243"/>
      <c r="EV95" s="243"/>
      <c r="EW95" s="243"/>
      <c r="EX95" s="243"/>
      <c r="EY95" s="243"/>
      <c r="EZ95" s="243"/>
      <c r="FA95" s="243"/>
      <c r="FB95" s="243"/>
      <c r="FC95" s="243"/>
      <c r="FD95" s="243"/>
      <c r="FE95" s="243"/>
      <c r="FF95" s="243"/>
      <c r="FG95" s="243"/>
      <c r="FH95" s="243"/>
      <c r="FI95" s="243"/>
      <c r="FJ95" s="243"/>
      <c r="FK95" s="243"/>
      <c r="FL95" s="243"/>
      <c r="FM95" s="243"/>
      <c r="FN95" s="243"/>
      <c r="FO95" s="243"/>
      <c r="FP95" s="243"/>
      <c r="FQ95" s="243"/>
      <c r="FR95" s="243"/>
      <c r="FS95" s="243"/>
      <c r="FT95" s="243"/>
      <c r="FU95" s="243"/>
      <c r="FV95" s="243"/>
      <c r="FW95" s="243"/>
      <c r="FX95" s="243"/>
      <c r="FY95" s="243"/>
      <c r="FZ95" s="243"/>
      <c r="GA95" s="243"/>
      <c r="GB95" s="243"/>
      <c r="GC95" s="243"/>
      <c r="GD95" s="243"/>
      <c r="GE95" s="243"/>
      <c r="GF95" s="243"/>
      <c r="GG95" s="243"/>
      <c r="GH95" s="243"/>
      <c r="GI95" s="243"/>
      <c r="GJ95" s="243"/>
      <c r="GK95" s="243"/>
      <c r="GL95" s="243"/>
      <c r="GM95" s="243"/>
      <c r="GN95" s="243"/>
      <c r="GO95" s="243"/>
      <c r="GP95" s="243"/>
      <c r="GQ95" s="243"/>
      <c r="GR95" s="243"/>
      <c r="GS95" s="243"/>
      <c r="GT95" s="243"/>
      <c r="GU95" s="243"/>
      <c r="GV95" s="243"/>
      <c r="GW95" s="243"/>
      <c r="GX95" s="243"/>
      <c r="GY95" s="243"/>
      <c r="GZ95" s="243"/>
      <c r="HA95" s="243"/>
      <c r="HB95" s="243"/>
      <c r="HC95" s="243"/>
      <c r="HD95" s="243"/>
      <c r="HE95" s="243"/>
      <c r="HF95" s="243"/>
      <c r="HG95" s="243"/>
      <c r="HH95" s="243"/>
      <c r="HI95" s="243"/>
      <c r="HJ95" s="243"/>
      <c r="HK95" s="243"/>
      <c r="HL95" s="243"/>
      <c r="HM95" s="243"/>
      <c r="HN95" s="243"/>
      <c r="HO95" s="243"/>
      <c r="HP95" s="243"/>
      <c r="HQ95" s="243"/>
      <c r="HR95" s="243"/>
      <c r="HS95" s="243"/>
      <c r="HT95" s="243"/>
      <c r="HU95" s="243"/>
      <c r="HV95" s="243"/>
      <c r="HW95" s="243"/>
      <c r="HX95" s="243"/>
      <c r="HY95" s="243"/>
      <c r="HZ95" s="243"/>
      <c r="IA95" s="243"/>
    </row>
    <row r="96" spans="1:235" s="244" customFormat="1" ht="14.25" customHeight="1" x14ac:dyDescent="0.25">
      <c r="A96" s="246"/>
      <c r="B96" s="247"/>
      <c r="C96" s="335" t="s">
        <v>619</v>
      </c>
      <c r="D96" s="361"/>
      <c r="E96" s="362"/>
      <c r="F96" s="248"/>
      <c r="G96" s="103"/>
      <c r="H96" s="249"/>
      <c r="I96" s="103"/>
      <c r="J96" s="103"/>
      <c r="K96" s="142"/>
      <c r="L96" s="143"/>
      <c r="M96" s="103"/>
      <c r="N96" s="103"/>
      <c r="O96" s="103"/>
      <c r="P96" s="144"/>
      <c r="Q96" s="69"/>
      <c r="R96" s="137"/>
      <c r="S96" s="69"/>
      <c r="T96" s="243"/>
      <c r="U96" s="243"/>
      <c r="V96" s="243"/>
      <c r="W96" s="243"/>
      <c r="X96" s="243"/>
      <c r="Y96" s="243"/>
      <c r="Z96" s="243"/>
      <c r="AA96" s="243"/>
      <c r="AB96" s="243"/>
      <c r="AC96" s="243"/>
      <c r="AD96" s="243"/>
      <c r="AE96" s="243"/>
      <c r="AF96" s="243"/>
      <c r="AG96" s="243"/>
      <c r="AH96" s="243"/>
      <c r="AI96" s="243"/>
      <c r="AJ96" s="243"/>
      <c r="AK96" s="243"/>
      <c r="AL96" s="243"/>
      <c r="AM96" s="243"/>
      <c r="AN96" s="243"/>
      <c r="AO96" s="243"/>
      <c r="AP96" s="243"/>
      <c r="AQ96" s="243"/>
      <c r="AR96" s="243"/>
      <c r="AS96" s="243"/>
      <c r="AT96" s="243"/>
      <c r="AU96" s="243"/>
      <c r="AV96" s="243"/>
      <c r="AW96" s="243"/>
      <c r="AX96" s="243"/>
      <c r="AY96" s="243"/>
      <c r="AZ96" s="243"/>
      <c r="BA96" s="243"/>
      <c r="BB96" s="243"/>
      <c r="BC96" s="243"/>
      <c r="BD96" s="243"/>
      <c r="BE96" s="243"/>
      <c r="BF96" s="243"/>
      <c r="BG96" s="243"/>
      <c r="BH96" s="243"/>
      <c r="BI96" s="243"/>
      <c r="BJ96" s="243"/>
      <c r="BK96" s="243"/>
      <c r="BL96" s="243"/>
      <c r="BM96" s="243"/>
      <c r="BN96" s="243"/>
      <c r="BO96" s="243"/>
      <c r="BP96" s="243"/>
      <c r="BQ96" s="243"/>
      <c r="BR96" s="243"/>
      <c r="BS96" s="243"/>
      <c r="BT96" s="243"/>
      <c r="BU96" s="243"/>
      <c r="BV96" s="243"/>
      <c r="BW96" s="243"/>
      <c r="BX96" s="243"/>
      <c r="BY96" s="243"/>
      <c r="BZ96" s="243"/>
      <c r="CA96" s="243"/>
      <c r="CB96" s="243"/>
      <c r="CC96" s="243"/>
      <c r="CD96" s="243"/>
      <c r="CE96" s="243"/>
      <c r="CF96" s="243"/>
      <c r="CG96" s="243"/>
      <c r="CH96" s="243"/>
      <c r="CI96" s="243"/>
      <c r="CJ96" s="243"/>
      <c r="CK96" s="243"/>
      <c r="CL96" s="243"/>
      <c r="CM96" s="243"/>
      <c r="CN96" s="243"/>
      <c r="CO96" s="243"/>
      <c r="CP96" s="243"/>
      <c r="CQ96" s="243"/>
      <c r="CR96" s="243"/>
      <c r="CS96" s="243"/>
      <c r="CT96" s="243"/>
      <c r="CU96" s="243"/>
      <c r="CV96" s="243"/>
      <c r="CW96" s="243"/>
      <c r="CX96" s="243"/>
      <c r="CY96" s="243"/>
      <c r="CZ96" s="243"/>
      <c r="DA96" s="243"/>
      <c r="DB96" s="243"/>
      <c r="DC96" s="243"/>
      <c r="DD96" s="243"/>
      <c r="DE96" s="243"/>
      <c r="DF96" s="243"/>
      <c r="DG96" s="243"/>
      <c r="DH96" s="243"/>
      <c r="DI96" s="243"/>
      <c r="DJ96" s="243"/>
      <c r="DK96" s="243"/>
      <c r="DL96" s="243"/>
      <c r="DM96" s="243"/>
      <c r="DN96" s="243"/>
      <c r="DO96" s="243"/>
      <c r="DP96" s="243"/>
      <c r="DQ96" s="243"/>
      <c r="DR96" s="243"/>
      <c r="DS96" s="243"/>
      <c r="DT96" s="243"/>
      <c r="DU96" s="243"/>
      <c r="DV96" s="243"/>
      <c r="DW96" s="243"/>
      <c r="DX96" s="243"/>
      <c r="DY96" s="243"/>
      <c r="DZ96" s="243"/>
      <c r="EA96" s="243"/>
      <c r="EB96" s="243"/>
      <c r="EC96" s="243"/>
      <c r="ED96" s="243"/>
      <c r="EE96" s="243"/>
      <c r="EF96" s="243"/>
      <c r="EG96" s="243"/>
      <c r="EH96" s="243"/>
      <c r="EI96" s="243"/>
      <c r="EJ96" s="243"/>
      <c r="EK96" s="243"/>
      <c r="EL96" s="243"/>
      <c r="EM96" s="243"/>
      <c r="EN96" s="243"/>
      <c r="EO96" s="243"/>
      <c r="EP96" s="243"/>
      <c r="EQ96" s="243"/>
      <c r="ER96" s="243"/>
      <c r="ES96" s="243"/>
      <c r="ET96" s="243"/>
      <c r="EU96" s="243"/>
      <c r="EV96" s="243"/>
      <c r="EW96" s="243"/>
      <c r="EX96" s="243"/>
      <c r="EY96" s="243"/>
      <c r="EZ96" s="243"/>
      <c r="FA96" s="243"/>
      <c r="FB96" s="243"/>
      <c r="FC96" s="243"/>
      <c r="FD96" s="243"/>
      <c r="FE96" s="243"/>
      <c r="FF96" s="243"/>
      <c r="FG96" s="243"/>
      <c r="FH96" s="243"/>
      <c r="FI96" s="243"/>
      <c r="FJ96" s="243"/>
      <c r="FK96" s="243"/>
      <c r="FL96" s="243"/>
      <c r="FM96" s="243"/>
      <c r="FN96" s="243"/>
      <c r="FO96" s="243"/>
      <c r="FP96" s="243"/>
      <c r="FQ96" s="243"/>
      <c r="FR96" s="243"/>
      <c r="FS96" s="243"/>
      <c r="FT96" s="243"/>
      <c r="FU96" s="243"/>
      <c r="FV96" s="243"/>
      <c r="FW96" s="243"/>
      <c r="FX96" s="243"/>
      <c r="FY96" s="243"/>
      <c r="FZ96" s="243"/>
      <c r="GA96" s="243"/>
      <c r="GB96" s="243"/>
      <c r="GC96" s="243"/>
      <c r="GD96" s="243"/>
      <c r="GE96" s="243"/>
      <c r="GF96" s="243"/>
      <c r="GG96" s="243"/>
      <c r="GH96" s="243"/>
      <c r="GI96" s="243"/>
      <c r="GJ96" s="243"/>
      <c r="GK96" s="243"/>
      <c r="GL96" s="243"/>
      <c r="GM96" s="243"/>
      <c r="GN96" s="243"/>
      <c r="GO96" s="243"/>
      <c r="GP96" s="243"/>
      <c r="GQ96" s="243"/>
      <c r="GR96" s="243"/>
      <c r="GS96" s="243"/>
      <c r="GT96" s="243"/>
      <c r="GU96" s="243"/>
      <c r="GV96" s="243"/>
      <c r="GW96" s="243"/>
      <c r="GX96" s="243"/>
      <c r="GY96" s="243"/>
      <c r="GZ96" s="243"/>
      <c r="HA96" s="243"/>
      <c r="HB96" s="243"/>
      <c r="HC96" s="243"/>
      <c r="HD96" s="243"/>
      <c r="HE96" s="243"/>
      <c r="HF96" s="243"/>
      <c r="HG96" s="243"/>
      <c r="HH96" s="243"/>
      <c r="HI96" s="243"/>
      <c r="HJ96" s="243"/>
      <c r="HK96" s="243"/>
      <c r="HL96" s="243"/>
      <c r="HM96" s="243"/>
      <c r="HN96" s="243"/>
      <c r="HO96" s="243"/>
      <c r="HP96" s="243"/>
      <c r="HQ96" s="243"/>
      <c r="HR96" s="243"/>
      <c r="HS96" s="243"/>
      <c r="HT96" s="243"/>
      <c r="HU96" s="243"/>
      <c r="HV96" s="243"/>
      <c r="HW96" s="243"/>
      <c r="HX96" s="243"/>
      <c r="HY96" s="243"/>
      <c r="HZ96" s="243"/>
      <c r="IA96" s="243"/>
    </row>
    <row r="97" spans="1:235" s="244" customFormat="1" ht="14.25" customHeight="1" x14ac:dyDescent="0.25">
      <c r="A97" s="241">
        <v>1</v>
      </c>
      <c r="B97" s="242" t="s">
        <v>108</v>
      </c>
      <c r="C97" s="363" t="s">
        <v>331</v>
      </c>
      <c r="D97" s="364" t="s">
        <v>124</v>
      </c>
      <c r="E97" s="365">
        <v>550.1</v>
      </c>
      <c r="F97" s="63"/>
      <c r="G97" s="64"/>
      <c r="H97" s="65"/>
      <c r="I97" s="64"/>
      <c r="J97" s="64"/>
      <c r="K97" s="66"/>
      <c r="L97" s="67"/>
      <c r="M97" s="64"/>
      <c r="N97" s="64"/>
      <c r="O97" s="64"/>
      <c r="P97" s="68"/>
      <c r="Q97" s="69"/>
      <c r="R97" s="137"/>
      <c r="S97" s="69"/>
      <c r="T97" s="243"/>
      <c r="U97" s="243"/>
      <c r="V97" s="243"/>
      <c r="W97" s="243"/>
      <c r="X97" s="243"/>
      <c r="Y97" s="243"/>
      <c r="Z97" s="243"/>
      <c r="AA97" s="243"/>
      <c r="AB97" s="243"/>
      <c r="AC97" s="243"/>
      <c r="AD97" s="243"/>
      <c r="AE97" s="243"/>
      <c r="AF97" s="243"/>
      <c r="AG97" s="243"/>
      <c r="AH97" s="243"/>
      <c r="AI97" s="243"/>
      <c r="AJ97" s="243"/>
      <c r="AK97" s="243"/>
      <c r="AL97" s="243"/>
      <c r="AM97" s="243"/>
      <c r="AN97" s="243"/>
      <c r="AO97" s="243"/>
      <c r="AP97" s="243"/>
      <c r="AQ97" s="243"/>
      <c r="AR97" s="243"/>
      <c r="AS97" s="243"/>
      <c r="AT97" s="243"/>
      <c r="AU97" s="243"/>
      <c r="AV97" s="243"/>
      <c r="AW97" s="243"/>
      <c r="AX97" s="243"/>
      <c r="AY97" s="243"/>
      <c r="AZ97" s="243"/>
      <c r="BA97" s="243"/>
      <c r="BB97" s="243"/>
      <c r="BC97" s="243"/>
      <c r="BD97" s="243"/>
      <c r="BE97" s="243"/>
      <c r="BF97" s="243"/>
      <c r="BG97" s="243"/>
      <c r="BH97" s="243"/>
      <c r="BI97" s="243"/>
      <c r="BJ97" s="243"/>
      <c r="BK97" s="243"/>
      <c r="BL97" s="243"/>
      <c r="BM97" s="243"/>
      <c r="BN97" s="243"/>
      <c r="BO97" s="243"/>
      <c r="BP97" s="243"/>
      <c r="BQ97" s="243"/>
      <c r="BR97" s="243"/>
      <c r="BS97" s="243"/>
      <c r="BT97" s="243"/>
      <c r="BU97" s="243"/>
      <c r="BV97" s="243"/>
      <c r="BW97" s="243"/>
      <c r="BX97" s="243"/>
      <c r="BY97" s="243"/>
      <c r="BZ97" s="243"/>
      <c r="CA97" s="243"/>
      <c r="CB97" s="243"/>
      <c r="CC97" s="243"/>
      <c r="CD97" s="243"/>
      <c r="CE97" s="243"/>
      <c r="CF97" s="243"/>
      <c r="CG97" s="243"/>
      <c r="CH97" s="243"/>
      <c r="CI97" s="243"/>
      <c r="CJ97" s="243"/>
      <c r="CK97" s="243"/>
      <c r="CL97" s="243"/>
      <c r="CM97" s="243"/>
      <c r="CN97" s="243"/>
      <c r="CO97" s="243"/>
      <c r="CP97" s="243"/>
      <c r="CQ97" s="243"/>
      <c r="CR97" s="243"/>
      <c r="CS97" s="243"/>
      <c r="CT97" s="243"/>
      <c r="CU97" s="243"/>
      <c r="CV97" s="243"/>
      <c r="CW97" s="243"/>
      <c r="CX97" s="243"/>
      <c r="CY97" s="243"/>
      <c r="CZ97" s="243"/>
      <c r="DA97" s="243"/>
      <c r="DB97" s="243"/>
      <c r="DC97" s="243"/>
      <c r="DD97" s="243"/>
      <c r="DE97" s="243"/>
      <c r="DF97" s="243"/>
      <c r="DG97" s="243"/>
      <c r="DH97" s="243"/>
      <c r="DI97" s="243"/>
      <c r="DJ97" s="243"/>
      <c r="DK97" s="243"/>
      <c r="DL97" s="243"/>
      <c r="DM97" s="243"/>
      <c r="DN97" s="243"/>
      <c r="DO97" s="243"/>
      <c r="DP97" s="243"/>
      <c r="DQ97" s="243"/>
      <c r="DR97" s="243"/>
      <c r="DS97" s="243"/>
      <c r="DT97" s="243"/>
      <c r="DU97" s="243"/>
      <c r="DV97" s="243"/>
      <c r="DW97" s="243"/>
      <c r="DX97" s="243"/>
      <c r="DY97" s="243"/>
      <c r="DZ97" s="243"/>
      <c r="EA97" s="243"/>
      <c r="EB97" s="243"/>
      <c r="EC97" s="243"/>
      <c r="ED97" s="243"/>
      <c r="EE97" s="243"/>
      <c r="EF97" s="243"/>
      <c r="EG97" s="243"/>
      <c r="EH97" s="243"/>
      <c r="EI97" s="243"/>
      <c r="EJ97" s="243"/>
      <c r="EK97" s="243"/>
      <c r="EL97" s="243"/>
      <c r="EM97" s="243"/>
      <c r="EN97" s="243"/>
      <c r="EO97" s="243"/>
      <c r="EP97" s="243"/>
      <c r="EQ97" s="243"/>
      <c r="ER97" s="243"/>
      <c r="ES97" s="243"/>
      <c r="ET97" s="243"/>
      <c r="EU97" s="243"/>
      <c r="EV97" s="243"/>
      <c r="EW97" s="243"/>
      <c r="EX97" s="243"/>
      <c r="EY97" s="243"/>
      <c r="EZ97" s="243"/>
      <c r="FA97" s="243"/>
      <c r="FB97" s="243"/>
      <c r="FC97" s="243"/>
      <c r="FD97" s="243"/>
      <c r="FE97" s="243"/>
      <c r="FF97" s="243"/>
      <c r="FG97" s="243"/>
      <c r="FH97" s="243"/>
      <c r="FI97" s="243"/>
      <c r="FJ97" s="243"/>
      <c r="FK97" s="243"/>
      <c r="FL97" s="243"/>
      <c r="FM97" s="243"/>
      <c r="FN97" s="243"/>
      <c r="FO97" s="243"/>
      <c r="FP97" s="243"/>
      <c r="FQ97" s="243"/>
      <c r="FR97" s="243"/>
      <c r="FS97" s="243"/>
      <c r="FT97" s="243"/>
      <c r="FU97" s="243"/>
      <c r="FV97" s="243"/>
      <c r="FW97" s="243"/>
      <c r="FX97" s="243"/>
      <c r="FY97" s="243"/>
      <c r="FZ97" s="243"/>
      <c r="GA97" s="243"/>
      <c r="GB97" s="243"/>
      <c r="GC97" s="243"/>
      <c r="GD97" s="243"/>
      <c r="GE97" s="243"/>
      <c r="GF97" s="243"/>
      <c r="GG97" s="243"/>
      <c r="GH97" s="243"/>
      <c r="GI97" s="243"/>
      <c r="GJ97" s="243"/>
      <c r="GK97" s="243"/>
      <c r="GL97" s="243"/>
      <c r="GM97" s="243"/>
      <c r="GN97" s="243"/>
      <c r="GO97" s="243"/>
      <c r="GP97" s="243"/>
      <c r="GQ97" s="243"/>
      <c r="GR97" s="243"/>
      <c r="GS97" s="243"/>
      <c r="GT97" s="243"/>
      <c r="GU97" s="243"/>
      <c r="GV97" s="243"/>
      <c r="GW97" s="243"/>
      <c r="GX97" s="243"/>
      <c r="GY97" s="243"/>
      <c r="GZ97" s="243"/>
      <c r="HA97" s="243"/>
      <c r="HB97" s="243"/>
      <c r="HC97" s="243"/>
      <c r="HD97" s="243"/>
      <c r="HE97" s="243"/>
      <c r="HF97" s="243"/>
      <c r="HG97" s="243"/>
      <c r="HH97" s="243"/>
      <c r="HI97" s="243"/>
      <c r="HJ97" s="243"/>
      <c r="HK97" s="243"/>
      <c r="HL97" s="243"/>
      <c r="HM97" s="243"/>
      <c r="HN97" s="243"/>
      <c r="HO97" s="243"/>
      <c r="HP97" s="243"/>
      <c r="HQ97" s="243"/>
      <c r="HR97" s="243"/>
      <c r="HS97" s="243"/>
      <c r="HT97" s="243"/>
      <c r="HU97" s="243"/>
      <c r="HV97" s="243"/>
      <c r="HW97" s="243"/>
      <c r="HX97" s="243"/>
      <c r="HY97" s="243"/>
      <c r="HZ97" s="243"/>
      <c r="IA97" s="243"/>
    </row>
    <row r="98" spans="1:235" s="244" customFormat="1" ht="14.25" customHeight="1" x14ac:dyDescent="0.25">
      <c r="A98" s="241">
        <v>2</v>
      </c>
      <c r="B98" s="242"/>
      <c r="C98" s="366" t="s">
        <v>176</v>
      </c>
      <c r="D98" s="364" t="s">
        <v>177</v>
      </c>
      <c r="E98" s="365">
        <f>E97*0.17</f>
        <v>93.51700000000001</v>
      </c>
      <c r="F98" s="63"/>
      <c r="G98" s="64"/>
      <c r="H98" s="65"/>
      <c r="I98" s="64"/>
      <c r="J98" s="64"/>
      <c r="K98" s="66"/>
      <c r="L98" s="67"/>
      <c r="M98" s="64"/>
      <c r="N98" s="64"/>
      <c r="O98" s="64"/>
      <c r="P98" s="68"/>
      <c r="Q98" s="69"/>
      <c r="R98" s="137"/>
      <c r="S98" s="69"/>
      <c r="T98" s="243"/>
      <c r="U98" s="243"/>
      <c r="V98" s="243"/>
      <c r="W98" s="243"/>
      <c r="X98" s="243"/>
      <c r="Y98" s="243"/>
      <c r="Z98" s="243"/>
      <c r="AA98" s="243"/>
      <c r="AB98" s="243"/>
      <c r="AC98" s="243"/>
      <c r="AD98" s="243"/>
      <c r="AE98" s="243"/>
      <c r="AF98" s="243"/>
      <c r="AG98" s="243"/>
      <c r="AH98" s="243"/>
      <c r="AI98" s="243"/>
      <c r="AJ98" s="243"/>
      <c r="AK98" s="243"/>
      <c r="AL98" s="243"/>
      <c r="AM98" s="243"/>
      <c r="AN98" s="243"/>
      <c r="AO98" s="243"/>
      <c r="AP98" s="243"/>
      <c r="AQ98" s="243"/>
      <c r="AR98" s="243"/>
      <c r="AS98" s="243"/>
      <c r="AT98" s="243"/>
      <c r="AU98" s="243"/>
      <c r="AV98" s="243"/>
      <c r="AW98" s="243"/>
      <c r="AX98" s="243"/>
      <c r="AY98" s="243"/>
      <c r="AZ98" s="243"/>
      <c r="BA98" s="243"/>
      <c r="BB98" s="243"/>
      <c r="BC98" s="243"/>
      <c r="BD98" s="243"/>
      <c r="BE98" s="243"/>
      <c r="BF98" s="243"/>
      <c r="BG98" s="243"/>
      <c r="BH98" s="243"/>
      <c r="BI98" s="243"/>
      <c r="BJ98" s="243"/>
      <c r="BK98" s="243"/>
      <c r="BL98" s="243"/>
      <c r="BM98" s="243"/>
      <c r="BN98" s="243"/>
      <c r="BO98" s="243"/>
      <c r="BP98" s="243"/>
      <c r="BQ98" s="243"/>
      <c r="BR98" s="243"/>
      <c r="BS98" s="243"/>
      <c r="BT98" s="243"/>
      <c r="BU98" s="243"/>
      <c r="BV98" s="243"/>
      <c r="BW98" s="243"/>
      <c r="BX98" s="243"/>
      <c r="BY98" s="243"/>
      <c r="BZ98" s="243"/>
      <c r="CA98" s="243"/>
      <c r="CB98" s="243"/>
      <c r="CC98" s="243"/>
      <c r="CD98" s="243"/>
      <c r="CE98" s="243"/>
      <c r="CF98" s="243"/>
      <c r="CG98" s="243"/>
      <c r="CH98" s="243"/>
      <c r="CI98" s="243"/>
      <c r="CJ98" s="243"/>
      <c r="CK98" s="243"/>
      <c r="CL98" s="243"/>
      <c r="CM98" s="243"/>
      <c r="CN98" s="243"/>
      <c r="CO98" s="243"/>
      <c r="CP98" s="243"/>
      <c r="CQ98" s="243"/>
      <c r="CR98" s="243"/>
      <c r="CS98" s="243"/>
      <c r="CT98" s="243"/>
      <c r="CU98" s="243"/>
      <c r="CV98" s="243"/>
      <c r="CW98" s="243"/>
      <c r="CX98" s="243"/>
      <c r="CY98" s="243"/>
      <c r="CZ98" s="243"/>
      <c r="DA98" s="243"/>
      <c r="DB98" s="243"/>
      <c r="DC98" s="243"/>
      <c r="DD98" s="243"/>
      <c r="DE98" s="243"/>
      <c r="DF98" s="243"/>
      <c r="DG98" s="243"/>
      <c r="DH98" s="243"/>
      <c r="DI98" s="243"/>
      <c r="DJ98" s="243"/>
      <c r="DK98" s="243"/>
      <c r="DL98" s="243"/>
      <c r="DM98" s="243"/>
      <c r="DN98" s="243"/>
      <c r="DO98" s="243"/>
      <c r="DP98" s="243"/>
      <c r="DQ98" s="243"/>
      <c r="DR98" s="243"/>
      <c r="DS98" s="243"/>
      <c r="DT98" s="243"/>
      <c r="DU98" s="243"/>
      <c r="DV98" s="243"/>
      <c r="DW98" s="243"/>
      <c r="DX98" s="243"/>
      <c r="DY98" s="243"/>
      <c r="DZ98" s="243"/>
      <c r="EA98" s="243"/>
      <c r="EB98" s="243"/>
      <c r="EC98" s="243"/>
      <c r="ED98" s="243"/>
      <c r="EE98" s="243"/>
      <c r="EF98" s="243"/>
      <c r="EG98" s="243"/>
      <c r="EH98" s="243"/>
      <c r="EI98" s="243"/>
      <c r="EJ98" s="243"/>
      <c r="EK98" s="243"/>
      <c r="EL98" s="243"/>
      <c r="EM98" s="243"/>
      <c r="EN98" s="243"/>
      <c r="EO98" s="243"/>
      <c r="EP98" s="243"/>
      <c r="EQ98" s="243"/>
      <c r="ER98" s="243"/>
      <c r="ES98" s="243"/>
      <c r="ET98" s="243"/>
      <c r="EU98" s="243"/>
      <c r="EV98" s="243"/>
      <c r="EW98" s="243"/>
      <c r="EX98" s="243"/>
      <c r="EY98" s="243"/>
      <c r="EZ98" s="243"/>
      <c r="FA98" s="243"/>
      <c r="FB98" s="243"/>
      <c r="FC98" s="243"/>
      <c r="FD98" s="243"/>
      <c r="FE98" s="243"/>
      <c r="FF98" s="243"/>
      <c r="FG98" s="243"/>
      <c r="FH98" s="243"/>
      <c r="FI98" s="243"/>
      <c r="FJ98" s="243"/>
      <c r="FK98" s="243"/>
      <c r="FL98" s="243"/>
      <c r="FM98" s="243"/>
      <c r="FN98" s="243"/>
      <c r="FO98" s="243"/>
      <c r="FP98" s="243"/>
      <c r="FQ98" s="243"/>
      <c r="FR98" s="243"/>
      <c r="FS98" s="243"/>
      <c r="FT98" s="243"/>
      <c r="FU98" s="243"/>
      <c r="FV98" s="243"/>
      <c r="FW98" s="243"/>
      <c r="FX98" s="243"/>
      <c r="FY98" s="243"/>
      <c r="FZ98" s="243"/>
      <c r="GA98" s="243"/>
      <c r="GB98" s="243"/>
      <c r="GC98" s="243"/>
      <c r="GD98" s="243"/>
      <c r="GE98" s="243"/>
      <c r="GF98" s="243"/>
      <c r="GG98" s="243"/>
      <c r="GH98" s="243"/>
      <c r="GI98" s="243"/>
      <c r="GJ98" s="243"/>
      <c r="GK98" s="243"/>
      <c r="GL98" s="243"/>
      <c r="GM98" s="243"/>
      <c r="GN98" s="243"/>
      <c r="GO98" s="243"/>
      <c r="GP98" s="243"/>
      <c r="GQ98" s="243"/>
      <c r="GR98" s="243"/>
      <c r="GS98" s="243"/>
      <c r="GT98" s="243"/>
      <c r="GU98" s="243"/>
      <c r="GV98" s="243"/>
      <c r="GW98" s="243"/>
      <c r="GX98" s="243"/>
      <c r="GY98" s="243"/>
      <c r="GZ98" s="243"/>
      <c r="HA98" s="243"/>
      <c r="HB98" s="243"/>
      <c r="HC98" s="243"/>
      <c r="HD98" s="243"/>
      <c r="HE98" s="243"/>
      <c r="HF98" s="243"/>
      <c r="HG98" s="243"/>
      <c r="HH98" s="243"/>
      <c r="HI98" s="243"/>
      <c r="HJ98" s="243"/>
      <c r="HK98" s="243"/>
      <c r="HL98" s="243"/>
      <c r="HM98" s="243"/>
      <c r="HN98" s="243"/>
      <c r="HO98" s="243"/>
      <c r="HP98" s="243"/>
      <c r="HQ98" s="243"/>
      <c r="HR98" s="243"/>
      <c r="HS98" s="243"/>
      <c r="HT98" s="243"/>
      <c r="HU98" s="243"/>
      <c r="HV98" s="243"/>
      <c r="HW98" s="243"/>
      <c r="HX98" s="243"/>
      <c r="HY98" s="243"/>
      <c r="HZ98" s="243"/>
      <c r="IA98" s="243"/>
    </row>
    <row r="99" spans="1:235" s="244" customFormat="1" ht="14.25" customHeight="1" x14ac:dyDescent="0.25">
      <c r="A99" s="241">
        <v>3</v>
      </c>
      <c r="B99" s="242"/>
      <c r="C99" s="366" t="s">
        <v>319</v>
      </c>
      <c r="D99" s="364" t="s">
        <v>180</v>
      </c>
      <c r="E99" s="365">
        <f>E97*1.5*1.2</f>
        <v>990.18000000000006</v>
      </c>
      <c r="F99" s="63"/>
      <c r="G99" s="64"/>
      <c r="H99" s="65"/>
      <c r="I99" s="64"/>
      <c r="J99" s="64"/>
      <c r="K99" s="66"/>
      <c r="L99" s="67"/>
      <c r="M99" s="64"/>
      <c r="N99" s="64"/>
      <c r="O99" s="64"/>
      <c r="P99" s="68"/>
      <c r="Q99" s="69"/>
      <c r="R99" s="137"/>
      <c r="S99" s="69"/>
      <c r="T99" s="243"/>
      <c r="U99" s="243"/>
      <c r="V99" s="243"/>
      <c r="W99" s="243"/>
      <c r="X99" s="243"/>
      <c r="Y99" s="243"/>
      <c r="Z99" s="243"/>
      <c r="AA99" s="243"/>
      <c r="AB99" s="243"/>
      <c r="AC99" s="243"/>
      <c r="AD99" s="243"/>
      <c r="AE99" s="243"/>
      <c r="AF99" s="243"/>
      <c r="AG99" s="243"/>
      <c r="AH99" s="243"/>
      <c r="AI99" s="243"/>
      <c r="AJ99" s="243"/>
      <c r="AK99" s="243"/>
      <c r="AL99" s="243"/>
      <c r="AM99" s="243"/>
      <c r="AN99" s="243"/>
      <c r="AO99" s="243"/>
      <c r="AP99" s="243"/>
      <c r="AQ99" s="243"/>
      <c r="AR99" s="243"/>
      <c r="AS99" s="243"/>
      <c r="AT99" s="243"/>
      <c r="AU99" s="243"/>
      <c r="AV99" s="243"/>
      <c r="AW99" s="243"/>
      <c r="AX99" s="243"/>
      <c r="AY99" s="243"/>
      <c r="AZ99" s="243"/>
      <c r="BA99" s="243"/>
      <c r="BB99" s="243"/>
      <c r="BC99" s="243"/>
      <c r="BD99" s="243"/>
      <c r="BE99" s="243"/>
      <c r="BF99" s="243"/>
      <c r="BG99" s="243"/>
      <c r="BH99" s="243"/>
      <c r="BI99" s="243"/>
      <c r="BJ99" s="243"/>
      <c r="BK99" s="243"/>
      <c r="BL99" s="243"/>
      <c r="BM99" s="243"/>
      <c r="BN99" s="243"/>
      <c r="BO99" s="243"/>
      <c r="BP99" s="243"/>
      <c r="BQ99" s="243"/>
      <c r="BR99" s="243"/>
      <c r="BS99" s="243"/>
      <c r="BT99" s="243"/>
      <c r="BU99" s="243"/>
      <c r="BV99" s="243"/>
      <c r="BW99" s="243"/>
      <c r="BX99" s="243"/>
      <c r="BY99" s="243"/>
      <c r="BZ99" s="243"/>
      <c r="CA99" s="243"/>
      <c r="CB99" s="243"/>
      <c r="CC99" s="243"/>
      <c r="CD99" s="243"/>
      <c r="CE99" s="243"/>
      <c r="CF99" s="243"/>
      <c r="CG99" s="243"/>
      <c r="CH99" s="243"/>
      <c r="CI99" s="243"/>
      <c r="CJ99" s="243"/>
      <c r="CK99" s="243"/>
      <c r="CL99" s="243"/>
      <c r="CM99" s="243"/>
      <c r="CN99" s="243"/>
      <c r="CO99" s="243"/>
      <c r="CP99" s="243"/>
      <c r="CQ99" s="243"/>
      <c r="CR99" s="243"/>
      <c r="CS99" s="243"/>
      <c r="CT99" s="243"/>
      <c r="CU99" s="243"/>
      <c r="CV99" s="243"/>
      <c r="CW99" s="243"/>
      <c r="CX99" s="243"/>
      <c r="CY99" s="243"/>
      <c r="CZ99" s="243"/>
      <c r="DA99" s="243"/>
      <c r="DB99" s="243"/>
      <c r="DC99" s="243"/>
      <c r="DD99" s="243"/>
      <c r="DE99" s="243"/>
      <c r="DF99" s="243"/>
      <c r="DG99" s="243"/>
      <c r="DH99" s="243"/>
      <c r="DI99" s="243"/>
      <c r="DJ99" s="243"/>
      <c r="DK99" s="243"/>
      <c r="DL99" s="243"/>
      <c r="DM99" s="243"/>
      <c r="DN99" s="243"/>
      <c r="DO99" s="243"/>
      <c r="DP99" s="243"/>
      <c r="DQ99" s="243"/>
      <c r="DR99" s="243"/>
      <c r="DS99" s="243"/>
      <c r="DT99" s="243"/>
      <c r="DU99" s="243"/>
      <c r="DV99" s="243"/>
      <c r="DW99" s="243"/>
      <c r="DX99" s="243"/>
      <c r="DY99" s="243"/>
      <c r="DZ99" s="243"/>
      <c r="EA99" s="243"/>
      <c r="EB99" s="243"/>
      <c r="EC99" s="243"/>
      <c r="ED99" s="243"/>
      <c r="EE99" s="243"/>
      <c r="EF99" s="243"/>
      <c r="EG99" s="243"/>
      <c r="EH99" s="243"/>
      <c r="EI99" s="243"/>
      <c r="EJ99" s="243"/>
      <c r="EK99" s="243"/>
      <c r="EL99" s="243"/>
      <c r="EM99" s="243"/>
      <c r="EN99" s="243"/>
      <c r="EO99" s="243"/>
      <c r="EP99" s="243"/>
      <c r="EQ99" s="243"/>
      <c r="ER99" s="243"/>
      <c r="ES99" s="243"/>
      <c r="ET99" s="243"/>
      <c r="EU99" s="243"/>
      <c r="EV99" s="243"/>
      <c r="EW99" s="243"/>
      <c r="EX99" s="243"/>
      <c r="EY99" s="243"/>
      <c r="EZ99" s="243"/>
      <c r="FA99" s="243"/>
      <c r="FB99" s="243"/>
      <c r="FC99" s="243"/>
      <c r="FD99" s="243"/>
      <c r="FE99" s="243"/>
      <c r="FF99" s="243"/>
      <c r="FG99" s="243"/>
      <c r="FH99" s="243"/>
      <c r="FI99" s="243"/>
      <c r="FJ99" s="243"/>
      <c r="FK99" s="243"/>
      <c r="FL99" s="243"/>
      <c r="FM99" s="243"/>
      <c r="FN99" s="243"/>
      <c r="FO99" s="243"/>
      <c r="FP99" s="243"/>
      <c r="FQ99" s="243"/>
      <c r="FR99" s="243"/>
      <c r="FS99" s="243"/>
      <c r="FT99" s="243"/>
      <c r="FU99" s="243"/>
      <c r="FV99" s="243"/>
      <c r="FW99" s="243"/>
      <c r="FX99" s="243"/>
      <c r="FY99" s="243"/>
      <c r="FZ99" s="243"/>
      <c r="GA99" s="243"/>
      <c r="GB99" s="243"/>
      <c r="GC99" s="243"/>
      <c r="GD99" s="243"/>
      <c r="GE99" s="243"/>
      <c r="GF99" s="243"/>
      <c r="GG99" s="243"/>
      <c r="GH99" s="243"/>
      <c r="GI99" s="243"/>
      <c r="GJ99" s="243"/>
      <c r="GK99" s="243"/>
      <c r="GL99" s="243"/>
      <c r="GM99" s="243"/>
      <c r="GN99" s="243"/>
      <c r="GO99" s="243"/>
      <c r="GP99" s="243"/>
      <c r="GQ99" s="243"/>
      <c r="GR99" s="243"/>
      <c r="GS99" s="243"/>
      <c r="GT99" s="243"/>
      <c r="GU99" s="243"/>
      <c r="GV99" s="243"/>
      <c r="GW99" s="243"/>
      <c r="GX99" s="243"/>
      <c r="GY99" s="243"/>
      <c r="GZ99" s="243"/>
      <c r="HA99" s="243"/>
      <c r="HB99" s="243"/>
      <c r="HC99" s="243"/>
      <c r="HD99" s="243"/>
      <c r="HE99" s="243"/>
      <c r="HF99" s="243"/>
      <c r="HG99" s="243"/>
      <c r="HH99" s="243"/>
      <c r="HI99" s="243"/>
      <c r="HJ99" s="243"/>
      <c r="HK99" s="243"/>
      <c r="HL99" s="243"/>
      <c r="HM99" s="243"/>
      <c r="HN99" s="243"/>
      <c r="HO99" s="243"/>
      <c r="HP99" s="243"/>
      <c r="HQ99" s="243"/>
      <c r="HR99" s="243"/>
      <c r="HS99" s="243"/>
      <c r="HT99" s="243"/>
      <c r="HU99" s="243"/>
      <c r="HV99" s="243"/>
      <c r="HW99" s="243"/>
      <c r="HX99" s="243"/>
      <c r="HY99" s="243"/>
      <c r="HZ99" s="243"/>
      <c r="IA99" s="243"/>
    </row>
    <row r="100" spans="1:235" s="244" customFormat="1" ht="14.25" customHeight="1" x14ac:dyDescent="0.25">
      <c r="A100" s="241">
        <v>4</v>
      </c>
      <c r="B100" s="242"/>
      <c r="C100" s="366" t="s">
        <v>320</v>
      </c>
      <c r="D100" s="364" t="s">
        <v>110</v>
      </c>
      <c r="E100" s="365">
        <f>E97*0.1</f>
        <v>55.010000000000005</v>
      </c>
      <c r="F100" s="63"/>
      <c r="G100" s="64"/>
      <c r="H100" s="65"/>
      <c r="I100" s="64"/>
      <c r="J100" s="64"/>
      <c r="K100" s="66"/>
      <c r="L100" s="67"/>
      <c r="M100" s="64"/>
      <c r="N100" s="64"/>
      <c r="O100" s="64"/>
      <c r="P100" s="68"/>
      <c r="Q100" s="69"/>
      <c r="R100" s="137"/>
      <c r="S100" s="69"/>
      <c r="T100" s="243"/>
      <c r="U100" s="243"/>
      <c r="V100" s="243"/>
      <c r="W100" s="243"/>
      <c r="X100" s="243"/>
      <c r="Y100" s="243"/>
      <c r="Z100" s="243"/>
      <c r="AA100" s="243"/>
      <c r="AB100" s="243"/>
      <c r="AC100" s="243"/>
      <c r="AD100" s="243"/>
      <c r="AE100" s="243"/>
      <c r="AF100" s="243"/>
      <c r="AG100" s="243"/>
      <c r="AH100" s="243"/>
      <c r="AI100" s="243"/>
      <c r="AJ100" s="243"/>
      <c r="AK100" s="243"/>
      <c r="AL100" s="243"/>
      <c r="AM100" s="243"/>
      <c r="AN100" s="243"/>
      <c r="AO100" s="243"/>
      <c r="AP100" s="243"/>
      <c r="AQ100" s="243"/>
      <c r="AR100" s="243"/>
      <c r="AS100" s="243"/>
      <c r="AT100" s="243"/>
      <c r="AU100" s="243"/>
      <c r="AV100" s="243"/>
      <c r="AW100" s="243"/>
      <c r="AX100" s="243"/>
      <c r="AY100" s="243"/>
      <c r="AZ100" s="243"/>
      <c r="BA100" s="243"/>
      <c r="BB100" s="243"/>
      <c r="BC100" s="243"/>
      <c r="BD100" s="243"/>
      <c r="BE100" s="243"/>
      <c r="BF100" s="243"/>
      <c r="BG100" s="243"/>
      <c r="BH100" s="243"/>
      <c r="BI100" s="243"/>
      <c r="BJ100" s="243"/>
      <c r="BK100" s="243"/>
      <c r="BL100" s="243"/>
      <c r="BM100" s="243"/>
      <c r="BN100" s="243"/>
      <c r="BO100" s="243"/>
      <c r="BP100" s="243"/>
      <c r="BQ100" s="243"/>
      <c r="BR100" s="243"/>
      <c r="BS100" s="243"/>
      <c r="BT100" s="243"/>
      <c r="BU100" s="243"/>
      <c r="BV100" s="243"/>
      <c r="BW100" s="243"/>
      <c r="BX100" s="243"/>
      <c r="BY100" s="243"/>
      <c r="BZ100" s="243"/>
      <c r="CA100" s="243"/>
      <c r="CB100" s="243"/>
      <c r="CC100" s="243"/>
      <c r="CD100" s="243"/>
      <c r="CE100" s="243"/>
      <c r="CF100" s="243"/>
      <c r="CG100" s="243"/>
      <c r="CH100" s="243"/>
      <c r="CI100" s="243"/>
      <c r="CJ100" s="243"/>
      <c r="CK100" s="243"/>
      <c r="CL100" s="243"/>
      <c r="CM100" s="243"/>
      <c r="CN100" s="243"/>
      <c r="CO100" s="243"/>
      <c r="CP100" s="243"/>
      <c r="CQ100" s="243"/>
      <c r="CR100" s="243"/>
      <c r="CS100" s="243"/>
      <c r="CT100" s="243"/>
      <c r="CU100" s="243"/>
      <c r="CV100" s="243"/>
      <c r="CW100" s="243"/>
      <c r="CX100" s="243"/>
      <c r="CY100" s="243"/>
      <c r="CZ100" s="243"/>
      <c r="DA100" s="243"/>
      <c r="DB100" s="243"/>
      <c r="DC100" s="243"/>
      <c r="DD100" s="243"/>
      <c r="DE100" s="243"/>
      <c r="DF100" s="243"/>
      <c r="DG100" s="243"/>
      <c r="DH100" s="243"/>
      <c r="DI100" s="243"/>
      <c r="DJ100" s="243"/>
      <c r="DK100" s="243"/>
      <c r="DL100" s="243"/>
      <c r="DM100" s="243"/>
      <c r="DN100" s="243"/>
      <c r="DO100" s="243"/>
      <c r="DP100" s="243"/>
      <c r="DQ100" s="243"/>
      <c r="DR100" s="243"/>
      <c r="DS100" s="243"/>
      <c r="DT100" s="243"/>
      <c r="DU100" s="243"/>
      <c r="DV100" s="243"/>
      <c r="DW100" s="243"/>
      <c r="DX100" s="243"/>
      <c r="DY100" s="243"/>
      <c r="DZ100" s="243"/>
      <c r="EA100" s="243"/>
      <c r="EB100" s="243"/>
      <c r="EC100" s="243"/>
      <c r="ED100" s="243"/>
      <c r="EE100" s="243"/>
      <c r="EF100" s="243"/>
      <c r="EG100" s="243"/>
      <c r="EH100" s="243"/>
      <c r="EI100" s="243"/>
      <c r="EJ100" s="243"/>
      <c r="EK100" s="243"/>
      <c r="EL100" s="243"/>
      <c r="EM100" s="243"/>
      <c r="EN100" s="243"/>
      <c r="EO100" s="243"/>
      <c r="EP100" s="243"/>
      <c r="EQ100" s="243"/>
      <c r="ER100" s="243"/>
      <c r="ES100" s="243"/>
      <c r="ET100" s="243"/>
      <c r="EU100" s="243"/>
      <c r="EV100" s="243"/>
      <c r="EW100" s="243"/>
      <c r="EX100" s="243"/>
      <c r="EY100" s="243"/>
      <c r="EZ100" s="243"/>
      <c r="FA100" s="243"/>
      <c r="FB100" s="243"/>
      <c r="FC100" s="243"/>
      <c r="FD100" s="243"/>
      <c r="FE100" s="243"/>
      <c r="FF100" s="243"/>
      <c r="FG100" s="243"/>
      <c r="FH100" s="243"/>
      <c r="FI100" s="243"/>
      <c r="FJ100" s="243"/>
      <c r="FK100" s="243"/>
      <c r="FL100" s="243"/>
      <c r="FM100" s="243"/>
      <c r="FN100" s="243"/>
      <c r="FO100" s="243"/>
      <c r="FP100" s="243"/>
      <c r="FQ100" s="243"/>
      <c r="FR100" s="243"/>
      <c r="FS100" s="243"/>
      <c r="FT100" s="243"/>
      <c r="FU100" s="243"/>
      <c r="FV100" s="243"/>
      <c r="FW100" s="243"/>
      <c r="FX100" s="243"/>
      <c r="FY100" s="243"/>
      <c r="FZ100" s="243"/>
      <c r="GA100" s="243"/>
      <c r="GB100" s="243"/>
      <c r="GC100" s="243"/>
      <c r="GD100" s="243"/>
      <c r="GE100" s="243"/>
      <c r="GF100" s="243"/>
      <c r="GG100" s="243"/>
      <c r="GH100" s="243"/>
      <c r="GI100" s="243"/>
      <c r="GJ100" s="243"/>
      <c r="GK100" s="243"/>
      <c r="GL100" s="243"/>
      <c r="GM100" s="243"/>
      <c r="GN100" s="243"/>
      <c r="GO100" s="243"/>
      <c r="GP100" s="243"/>
      <c r="GQ100" s="243"/>
      <c r="GR100" s="243"/>
      <c r="GS100" s="243"/>
      <c r="GT100" s="243"/>
      <c r="GU100" s="243"/>
      <c r="GV100" s="243"/>
      <c r="GW100" s="243"/>
      <c r="GX100" s="243"/>
      <c r="GY100" s="243"/>
      <c r="GZ100" s="243"/>
      <c r="HA100" s="243"/>
      <c r="HB100" s="243"/>
      <c r="HC100" s="243"/>
      <c r="HD100" s="243"/>
      <c r="HE100" s="243"/>
      <c r="HF100" s="243"/>
      <c r="HG100" s="243"/>
      <c r="HH100" s="243"/>
      <c r="HI100" s="243"/>
      <c r="HJ100" s="243"/>
      <c r="HK100" s="243"/>
      <c r="HL100" s="243"/>
      <c r="HM100" s="243"/>
      <c r="HN100" s="243"/>
      <c r="HO100" s="243"/>
      <c r="HP100" s="243"/>
      <c r="HQ100" s="243"/>
      <c r="HR100" s="243"/>
      <c r="HS100" s="243"/>
      <c r="HT100" s="243"/>
      <c r="HU100" s="243"/>
      <c r="HV100" s="243"/>
      <c r="HW100" s="243"/>
      <c r="HX100" s="243"/>
      <c r="HY100" s="243"/>
      <c r="HZ100" s="243"/>
      <c r="IA100" s="243"/>
    </row>
    <row r="101" spans="1:235" s="244" customFormat="1" ht="14.25" customHeight="1" x14ac:dyDescent="0.25">
      <c r="A101" s="241">
        <v>5</v>
      </c>
      <c r="B101" s="242"/>
      <c r="C101" s="366" t="s">
        <v>246</v>
      </c>
      <c r="D101" s="364" t="s">
        <v>124</v>
      </c>
      <c r="E101" s="365">
        <f>E97</f>
        <v>550.1</v>
      </c>
      <c r="F101" s="63"/>
      <c r="G101" s="64"/>
      <c r="H101" s="65"/>
      <c r="I101" s="64"/>
      <c r="J101" s="64"/>
      <c r="K101" s="66"/>
      <c r="L101" s="67"/>
      <c r="M101" s="64"/>
      <c r="N101" s="64"/>
      <c r="O101" s="64"/>
      <c r="P101" s="68"/>
      <c r="Q101" s="69"/>
      <c r="R101" s="137"/>
      <c r="S101" s="69"/>
      <c r="T101" s="243"/>
      <c r="U101" s="243"/>
      <c r="V101" s="243"/>
      <c r="W101" s="243"/>
      <c r="X101" s="243"/>
      <c r="Y101" s="243"/>
      <c r="Z101" s="243"/>
      <c r="AA101" s="243"/>
      <c r="AB101" s="243"/>
      <c r="AC101" s="243"/>
      <c r="AD101" s="243"/>
      <c r="AE101" s="243"/>
      <c r="AF101" s="243"/>
      <c r="AG101" s="243"/>
      <c r="AH101" s="243"/>
      <c r="AI101" s="243"/>
      <c r="AJ101" s="243"/>
      <c r="AK101" s="243"/>
      <c r="AL101" s="243"/>
      <c r="AM101" s="243"/>
      <c r="AN101" s="243"/>
      <c r="AO101" s="243"/>
      <c r="AP101" s="243"/>
      <c r="AQ101" s="243"/>
      <c r="AR101" s="243"/>
      <c r="AS101" s="243"/>
      <c r="AT101" s="243"/>
      <c r="AU101" s="243"/>
      <c r="AV101" s="243"/>
      <c r="AW101" s="243"/>
      <c r="AX101" s="243"/>
      <c r="AY101" s="243"/>
      <c r="AZ101" s="243"/>
      <c r="BA101" s="243"/>
      <c r="BB101" s="243"/>
      <c r="BC101" s="243"/>
      <c r="BD101" s="243"/>
      <c r="BE101" s="243"/>
      <c r="BF101" s="243"/>
      <c r="BG101" s="243"/>
      <c r="BH101" s="243"/>
      <c r="BI101" s="243"/>
      <c r="BJ101" s="243"/>
      <c r="BK101" s="243"/>
      <c r="BL101" s="243"/>
      <c r="BM101" s="243"/>
      <c r="BN101" s="243"/>
      <c r="BO101" s="243"/>
      <c r="BP101" s="243"/>
      <c r="BQ101" s="243"/>
      <c r="BR101" s="243"/>
      <c r="BS101" s="243"/>
      <c r="BT101" s="243"/>
      <c r="BU101" s="243"/>
      <c r="BV101" s="243"/>
      <c r="BW101" s="243"/>
      <c r="BX101" s="243"/>
      <c r="BY101" s="243"/>
      <c r="BZ101" s="243"/>
      <c r="CA101" s="243"/>
      <c r="CB101" s="243"/>
      <c r="CC101" s="243"/>
      <c r="CD101" s="243"/>
      <c r="CE101" s="243"/>
      <c r="CF101" s="243"/>
      <c r="CG101" s="243"/>
      <c r="CH101" s="243"/>
      <c r="CI101" s="243"/>
      <c r="CJ101" s="243"/>
      <c r="CK101" s="243"/>
      <c r="CL101" s="243"/>
      <c r="CM101" s="243"/>
      <c r="CN101" s="243"/>
      <c r="CO101" s="243"/>
      <c r="CP101" s="243"/>
      <c r="CQ101" s="243"/>
      <c r="CR101" s="243"/>
      <c r="CS101" s="243"/>
      <c r="CT101" s="243"/>
      <c r="CU101" s="243"/>
      <c r="CV101" s="243"/>
      <c r="CW101" s="243"/>
      <c r="CX101" s="243"/>
      <c r="CY101" s="243"/>
      <c r="CZ101" s="243"/>
      <c r="DA101" s="243"/>
      <c r="DB101" s="243"/>
      <c r="DC101" s="243"/>
      <c r="DD101" s="243"/>
      <c r="DE101" s="243"/>
      <c r="DF101" s="243"/>
      <c r="DG101" s="243"/>
      <c r="DH101" s="243"/>
      <c r="DI101" s="243"/>
      <c r="DJ101" s="243"/>
      <c r="DK101" s="243"/>
      <c r="DL101" s="243"/>
      <c r="DM101" s="243"/>
      <c r="DN101" s="243"/>
      <c r="DO101" s="243"/>
      <c r="DP101" s="243"/>
      <c r="DQ101" s="243"/>
      <c r="DR101" s="243"/>
      <c r="DS101" s="243"/>
      <c r="DT101" s="243"/>
      <c r="DU101" s="243"/>
      <c r="DV101" s="243"/>
      <c r="DW101" s="243"/>
      <c r="DX101" s="243"/>
      <c r="DY101" s="243"/>
      <c r="DZ101" s="243"/>
      <c r="EA101" s="243"/>
      <c r="EB101" s="243"/>
      <c r="EC101" s="243"/>
      <c r="ED101" s="243"/>
      <c r="EE101" s="243"/>
      <c r="EF101" s="243"/>
      <c r="EG101" s="243"/>
      <c r="EH101" s="243"/>
      <c r="EI101" s="243"/>
      <c r="EJ101" s="243"/>
      <c r="EK101" s="243"/>
      <c r="EL101" s="243"/>
      <c r="EM101" s="243"/>
      <c r="EN101" s="243"/>
      <c r="EO101" s="243"/>
      <c r="EP101" s="243"/>
      <c r="EQ101" s="243"/>
      <c r="ER101" s="243"/>
      <c r="ES101" s="243"/>
      <c r="ET101" s="243"/>
      <c r="EU101" s="243"/>
      <c r="EV101" s="243"/>
      <c r="EW101" s="243"/>
      <c r="EX101" s="243"/>
      <c r="EY101" s="243"/>
      <c r="EZ101" s="243"/>
      <c r="FA101" s="243"/>
      <c r="FB101" s="243"/>
      <c r="FC101" s="243"/>
      <c r="FD101" s="243"/>
      <c r="FE101" s="243"/>
      <c r="FF101" s="243"/>
      <c r="FG101" s="243"/>
      <c r="FH101" s="243"/>
      <c r="FI101" s="243"/>
      <c r="FJ101" s="243"/>
      <c r="FK101" s="243"/>
      <c r="FL101" s="243"/>
      <c r="FM101" s="243"/>
      <c r="FN101" s="243"/>
      <c r="FO101" s="243"/>
      <c r="FP101" s="243"/>
      <c r="FQ101" s="243"/>
      <c r="FR101" s="243"/>
      <c r="FS101" s="243"/>
      <c r="FT101" s="243"/>
      <c r="FU101" s="243"/>
      <c r="FV101" s="243"/>
      <c r="FW101" s="243"/>
      <c r="FX101" s="243"/>
      <c r="FY101" s="243"/>
      <c r="FZ101" s="243"/>
      <c r="GA101" s="243"/>
      <c r="GB101" s="243"/>
      <c r="GC101" s="243"/>
      <c r="GD101" s="243"/>
      <c r="GE101" s="243"/>
      <c r="GF101" s="243"/>
      <c r="GG101" s="243"/>
      <c r="GH101" s="243"/>
      <c r="GI101" s="243"/>
      <c r="GJ101" s="243"/>
      <c r="GK101" s="243"/>
      <c r="GL101" s="243"/>
      <c r="GM101" s="243"/>
      <c r="GN101" s="243"/>
      <c r="GO101" s="243"/>
      <c r="GP101" s="243"/>
      <c r="GQ101" s="243"/>
      <c r="GR101" s="243"/>
      <c r="GS101" s="243"/>
      <c r="GT101" s="243"/>
      <c r="GU101" s="243"/>
      <c r="GV101" s="243"/>
      <c r="GW101" s="243"/>
      <c r="GX101" s="243"/>
      <c r="GY101" s="243"/>
      <c r="GZ101" s="243"/>
      <c r="HA101" s="243"/>
      <c r="HB101" s="243"/>
      <c r="HC101" s="243"/>
      <c r="HD101" s="243"/>
      <c r="HE101" s="243"/>
      <c r="HF101" s="243"/>
      <c r="HG101" s="243"/>
      <c r="HH101" s="243"/>
      <c r="HI101" s="243"/>
      <c r="HJ101" s="243"/>
      <c r="HK101" s="243"/>
      <c r="HL101" s="243"/>
      <c r="HM101" s="243"/>
      <c r="HN101" s="243"/>
      <c r="HO101" s="243"/>
      <c r="HP101" s="243"/>
      <c r="HQ101" s="243"/>
      <c r="HR101" s="243"/>
      <c r="HS101" s="243"/>
      <c r="HT101" s="243"/>
      <c r="HU101" s="243"/>
      <c r="HV101" s="243"/>
      <c r="HW101" s="243"/>
      <c r="HX101" s="243"/>
      <c r="HY101" s="243"/>
      <c r="HZ101" s="243"/>
      <c r="IA101" s="243"/>
    </row>
    <row r="102" spans="1:235" s="244" customFormat="1" ht="14.25" customHeight="1" x14ac:dyDescent="0.25">
      <c r="A102" s="246"/>
      <c r="B102" s="247"/>
      <c r="C102" s="335" t="s">
        <v>620</v>
      </c>
      <c r="D102" s="361"/>
      <c r="E102" s="372"/>
      <c r="F102" s="248"/>
      <c r="G102" s="64"/>
      <c r="H102" s="65"/>
      <c r="I102" s="103"/>
      <c r="J102" s="103"/>
      <c r="K102" s="142"/>
      <c r="L102" s="143"/>
      <c r="M102" s="103"/>
      <c r="N102" s="103"/>
      <c r="O102" s="103"/>
      <c r="P102" s="144"/>
      <c r="Q102" s="69"/>
      <c r="R102" s="137"/>
      <c r="S102" s="69"/>
      <c r="T102" s="243"/>
      <c r="U102" s="243"/>
      <c r="V102" s="243"/>
      <c r="W102" s="243"/>
      <c r="X102" s="243"/>
      <c r="Y102" s="243"/>
      <c r="Z102" s="243"/>
      <c r="AA102" s="243"/>
      <c r="AB102" s="243"/>
      <c r="AC102" s="243"/>
      <c r="AD102" s="243"/>
      <c r="AE102" s="243"/>
      <c r="AF102" s="243"/>
      <c r="AG102" s="243"/>
      <c r="AH102" s="243"/>
      <c r="AI102" s="243"/>
      <c r="AJ102" s="243"/>
      <c r="AK102" s="243"/>
      <c r="AL102" s="243"/>
      <c r="AM102" s="243"/>
      <c r="AN102" s="243"/>
      <c r="AO102" s="243"/>
      <c r="AP102" s="243"/>
      <c r="AQ102" s="243"/>
      <c r="AR102" s="243"/>
      <c r="AS102" s="243"/>
      <c r="AT102" s="243"/>
      <c r="AU102" s="243"/>
      <c r="AV102" s="243"/>
      <c r="AW102" s="243"/>
      <c r="AX102" s="243"/>
      <c r="AY102" s="243"/>
      <c r="AZ102" s="243"/>
      <c r="BA102" s="243"/>
      <c r="BB102" s="243"/>
      <c r="BC102" s="243"/>
      <c r="BD102" s="243"/>
      <c r="BE102" s="243"/>
      <c r="BF102" s="243"/>
      <c r="BG102" s="243"/>
      <c r="BH102" s="243"/>
      <c r="BI102" s="243"/>
      <c r="BJ102" s="243"/>
      <c r="BK102" s="243"/>
      <c r="BL102" s="243"/>
      <c r="BM102" s="243"/>
      <c r="BN102" s="243"/>
      <c r="BO102" s="243"/>
      <c r="BP102" s="243"/>
      <c r="BQ102" s="243"/>
      <c r="BR102" s="243"/>
      <c r="BS102" s="243"/>
      <c r="BT102" s="243"/>
      <c r="BU102" s="243"/>
      <c r="BV102" s="243"/>
      <c r="BW102" s="243"/>
      <c r="BX102" s="243"/>
      <c r="BY102" s="243"/>
      <c r="BZ102" s="243"/>
      <c r="CA102" s="243"/>
      <c r="CB102" s="243"/>
      <c r="CC102" s="243"/>
      <c r="CD102" s="243"/>
      <c r="CE102" s="243"/>
      <c r="CF102" s="243"/>
      <c r="CG102" s="243"/>
      <c r="CH102" s="243"/>
      <c r="CI102" s="243"/>
      <c r="CJ102" s="243"/>
      <c r="CK102" s="243"/>
      <c r="CL102" s="243"/>
      <c r="CM102" s="243"/>
      <c r="CN102" s="243"/>
      <c r="CO102" s="243"/>
      <c r="CP102" s="243"/>
      <c r="CQ102" s="243"/>
      <c r="CR102" s="243"/>
      <c r="CS102" s="243"/>
      <c r="CT102" s="243"/>
      <c r="CU102" s="243"/>
      <c r="CV102" s="243"/>
      <c r="CW102" s="243"/>
      <c r="CX102" s="243"/>
      <c r="CY102" s="243"/>
      <c r="CZ102" s="243"/>
      <c r="DA102" s="243"/>
      <c r="DB102" s="243"/>
      <c r="DC102" s="243"/>
      <c r="DD102" s="243"/>
      <c r="DE102" s="243"/>
      <c r="DF102" s="243"/>
      <c r="DG102" s="243"/>
      <c r="DH102" s="243"/>
      <c r="DI102" s="243"/>
      <c r="DJ102" s="243"/>
      <c r="DK102" s="243"/>
      <c r="DL102" s="243"/>
      <c r="DM102" s="243"/>
      <c r="DN102" s="243"/>
      <c r="DO102" s="243"/>
      <c r="DP102" s="243"/>
      <c r="DQ102" s="243"/>
      <c r="DR102" s="243"/>
      <c r="DS102" s="243"/>
      <c r="DT102" s="243"/>
      <c r="DU102" s="243"/>
      <c r="DV102" s="243"/>
      <c r="DW102" s="243"/>
      <c r="DX102" s="243"/>
      <c r="DY102" s="243"/>
      <c r="DZ102" s="243"/>
      <c r="EA102" s="243"/>
      <c r="EB102" s="243"/>
      <c r="EC102" s="243"/>
      <c r="ED102" s="243"/>
      <c r="EE102" s="243"/>
      <c r="EF102" s="243"/>
      <c r="EG102" s="243"/>
      <c r="EH102" s="243"/>
      <c r="EI102" s="243"/>
      <c r="EJ102" s="243"/>
      <c r="EK102" s="243"/>
      <c r="EL102" s="243"/>
      <c r="EM102" s="243"/>
      <c r="EN102" s="243"/>
      <c r="EO102" s="243"/>
      <c r="EP102" s="243"/>
      <c r="EQ102" s="243"/>
      <c r="ER102" s="243"/>
      <c r="ES102" s="243"/>
      <c r="ET102" s="243"/>
      <c r="EU102" s="243"/>
      <c r="EV102" s="243"/>
      <c r="EW102" s="243"/>
      <c r="EX102" s="243"/>
      <c r="EY102" s="243"/>
      <c r="EZ102" s="243"/>
      <c r="FA102" s="243"/>
      <c r="FB102" s="243"/>
      <c r="FC102" s="243"/>
      <c r="FD102" s="243"/>
      <c r="FE102" s="243"/>
      <c r="FF102" s="243"/>
      <c r="FG102" s="243"/>
      <c r="FH102" s="243"/>
      <c r="FI102" s="243"/>
      <c r="FJ102" s="243"/>
      <c r="FK102" s="243"/>
      <c r="FL102" s="243"/>
      <c r="FM102" s="243"/>
      <c r="FN102" s="243"/>
      <c r="FO102" s="243"/>
      <c r="FP102" s="243"/>
      <c r="FQ102" s="243"/>
      <c r="FR102" s="243"/>
      <c r="FS102" s="243"/>
      <c r="FT102" s="243"/>
      <c r="FU102" s="243"/>
      <c r="FV102" s="243"/>
      <c r="FW102" s="243"/>
      <c r="FX102" s="243"/>
      <c r="FY102" s="243"/>
      <c r="FZ102" s="243"/>
      <c r="GA102" s="243"/>
      <c r="GB102" s="243"/>
      <c r="GC102" s="243"/>
      <c r="GD102" s="243"/>
      <c r="GE102" s="243"/>
      <c r="GF102" s="243"/>
      <c r="GG102" s="243"/>
      <c r="GH102" s="243"/>
      <c r="GI102" s="243"/>
      <c r="GJ102" s="243"/>
      <c r="GK102" s="243"/>
      <c r="GL102" s="243"/>
      <c r="GM102" s="243"/>
      <c r="GN102" s="243"/>
      <c r="GO102" s="243"/>
      <c r="GP102" s="243"/>
      <c r="GQ102" s="243"/>
      <c r="GR102" s="243"/>
      <c r="GS102" s="243"/>
      <c r="GT102" s="243"/>
      <c r="GU102" s="243"/>
      <c r="GV102" s="243"/>
      <c r="GW102" s="243"/>
      <c r="GX102" s="243"/>
      <c r="GY102" s="243"/>
      <c r="GZ102" s="243"/>
      <c r="HA102" s="243"/>
      <c r="HB102" s="243"/>
      <c r="HC102" s="243"/>
      <c r="HD102" s="243"/>
      <c r="HE102" s="243"/>
      <c r="HF102" s="243"/>
      <c r="HG102" s="243"/>
      <c r="HH102" s="243"/>
      <c r="HI102" s="243"/>
      <c r="HJ102" s="243"/>
      <c r="HK102" s="243"/>
      <c r="HL102" s="243"/>
      <c r="HM102" s="243"/>
      <c r="HN102" s="243"/>
      <c r="HO102" s="243"/>
      <c r="HP102" s="243"/>
      <c r="HQ102" s="243"/>
      <c r="HR102" s="243"/>
      <c r="HS102" s="243"/>
      <c r="HT102" s="243"/>
      <c r="HU102" s="243"/>
      <c r="HV102" s="243"/>
      <c r="HW102" s="243"/>
      <c r="HX102" s="243"/>
      <c r="HY102" s="243"/>
      <c r="HZ102" s="243"/>
      <c r="IA102" s="243"/>
    </row>
    <row r="103" spans="1:235" s="244" customFormat="1" ht="14.25" customHeight="1" x14ac:dyDescent="0.25">
      <c r="A103" s="241">
        <v>1</v>
      </c>
      <c r="B103" s="242" t="s">
        <v>108</v>
      </c>
      <c r="C103" s="363" t="s">
        <v>332</v>
      </c>
      <c r="D103" s="364" t="s">
        <v>124</v>
      </c>
      <c r="E103" s="365">
        <f>E97</f>
        <v>550.1</v>
      </c>
      <c r="F103" s="63"/>
      <c r="G103" s="64"/>
      <c r="H103" s="65"/>
      <c r="I103" s="64"/>
      <c r="J103" s="64"/>
      <c r="K103" s="66"/>
      <c r="L103" s="67"/>
      <c r="M103" s="64"/>
      <c r="N103" s="64"/>
      <c r="O103" s="64"/>
      <c r="P103" s="68"/>
      <c r="Q103" s="69"/>
      <c r="R103" s="137"/>
      <c r="S103" s="69"/>
      <c r="T103" s="243"/>
      <c r="U103" s="243"/>
      <c r="V103" s="243"/>
      <c r="W103" s="243"/>
      <c r="X103" s="243"/>
      <c r="Y103" s="243"/>
      <c r="Z103" s="243"/>
      <c r="AA103" s="243"/>
      <c r="AB103" s="243"/>
      <c r="AC103" s="243"/>
      <c r="AD103" s="243"/>
      <c r="AE103" s="243"/>
      <c r="AF103" s="243"/>
      <c r="AG103" s="243"/>
      <c r="AH103" s="243"/>
      <c r="AI103" s="243"/>
      <c r="AJ103" s="243"/>
      <c r="AK103" s="243"/>
      <c r="AL103" s="243"/>
      <c r="AM103" s="243"/>
      <c r="AN103" s="243"/>
      <c r="AO103" s="243"/>
      <c r="AP103" s="243"/>
      <c r="AQ103" s="243"/>
      <c r="AR103" s="243"/>
      <c r="AS103" s="243"/>
      <c r="AT103" s="243"/>
      <c r="AU103" s="243"/>
      <c r="AV103" s="243"/>
      <c r="AW103" s="243"/>
      <c r="AX103" s="243"/>
      <c r="AY103" s="243"/>
      <c r="AZ103" s="243"/>
      <c r="BA103" s="243"/>
      <c r="BB103" s="243"/>
      <c r="BC103" s="243"/>
      <c r="BD103" s="243"/>
      <c r="BE103" s="243"/>
      <c r="BF103" s="243"/>
      <c r="BG103" s="243"/>
      <c r="BH103" s="243"/>
      <c r="BI103" s="243"/>
      <c r="BJ103" s="243"/>
      <c r="BK103" s="243"/>
      <c r="BL103" s="243"/>
      <c r="BM103" s="243"/>
      <c r="BN103" s="243"/>
      <c r="BO103" s="243"/>
      <c r="BP103" s="243"/>
      <c r="BQ103" s="243"/>
      <c r="BR103" s="243"/>
      <c r="BS103" s="243"/>
      <c r="BT103" s="243"/>
      <c r="BU103" s="243"/>
      <c r="BV103" s="243"/>
      <c r="BW103" s="243"/>
      <c r="BX103" s="243"/>
      <c r="BY103" s="243"/>
      <c r="BZ103" s="243"/>
      <c r="CA103" s="243"/>
      <c r="CB103" s="243"/>
      <c r="CC103" s="243"/>
      <c r="CD103" s="243"/>
      <c r="CE103" s="243"/>
      <c r="CF103" s="243"/>
      <c r="CG103" s="243"/>
      <c r="CH103" s="243"/>
      <c r="CI103" s="243"/>
      <c r="CJ103" s="243"/>
      <c r="CK103" s="243"/>
      <c r="CL103" s="243"/>
      <c r="CM103" s="243"/>
      <c r="CN103" s="243"/>
      <c r="CO103" s="243"/>
      <c r="CP103" s="243"/>
      <c r="CQ103" s="243"/>
      <c r="CR103" s="243"/>
      <c r="CS103" s="243"/>
      <c r="CT103" s="243"/>
      <c r="CU103" s="243"/>
      <c r="CV103" s="243"/>
      <c r="CW103" s="243"/>
      <c r="CX103" s="243"/>
      <c r="CY103" s="243"/>
      <c r="CZ103" s="243"/>
      <c r="DA103" s="243"/>
      <c r="DB103" s="243"/>
      <c r="DC103" s="243"/>
      <c r="DD103" s="243"/>
      <c r="DE103" s="243"/>
      <c r="DF103" s="243"/>
      <c r="DG103" s="243"/>
      <c r="DH103" s="243"/>
      <c r="DI103" s="243"/>
      <c r="DJ103" s="243"/>
      <c r="DK103" s="243"/>
      <c r="DL103" s="243"/>
      <c r="DM103" s="243"/>
      <c r="DN103" s="243"/>
      <c r="DO103" s="243"/>
      <c r="DP103" s="243"/>
      <c r="DQ103" s="243"/>
      <c r="DR103" s="243"/>
      <c r="DS103" s="243"/>
      <c r="DT103" s="243"/>
      <c r="DU103" s="243"/>
      <c r="DV103" s="243"/>
      <c r="DW103" s="243"/>
      <c r="DX103" s="243"/>
      <c r="DY103" s="243"/>
      <c r="DZ103" s="243"/>
      <c r="EA103" s="243"/>
      <c r="EB103" s="243"/>
      <c r="EC103" s="243"/>
      <c r="ED103" s="243"/>
      <c r="EE103" s="243"/>
      <c r="EF103" s="243"/>
      <c r="EG103" s="243"/>
      <c r="EH103" s="243"/>
      <c r="EI103" s="243"/>
      <c r="EJ103" s="243"/>
      <c r="EK103" s="243"/>
      <c r="EL103" s="243"/>
      <c r="EM103" s="243"/>
      <c r="EN103" s="243"/>
      <c r="EO103" s="243"/>
      <c r="EP103" s="243"/>
      <c r="EQ103" s="243"/>
      <c r="ER103" s="243"/>
      <c r="ES103" s="243"/>
      <c r="ET103" s="243"/>
      <c r="EU103" s="243"/>
      <c r="EV103" s="243"/>
      <c r="EW103" s="243"/>
      <c r="EX103" s="243"/>
      <c r="EY103" s="243"/>
      <c r="EZ103" s="243"/>
      <c r="FA103" s="243"/>
      <c r="FB103" s="243"/>
      <c r="FC103" s="243"/>
      <c r="FD103" s="243"/>
      <c r="FE103" s="243"/>
      <c r="FF103" s="243"/>
      <c r="FG103" s="243"/>
      <c r="FH103" s="243"/>
      <c r="FI103" s="243"/>
      <c r="FJ103" s="243"/>
      <c r="FK103" s="243"/>
      <c r="FL103" s="243"/>
      <c r="FM103" s="243"/>
      <c r="FN103" s="243"/>
      <c r="FO103" s="243"/>
      <c r="FP103" s="243"/>
      <c r="FQ103" s="243"/>
      <c r="FR103" s="243"/>
      <c r="FS103" s="243"/>
      <c r="FT103" s="243"/>
      <c r="FU103" s="243"/>
      <c r="FV103" s="243"/>
      <c r="FW103" s="243"/>
      <c r="FX103" s="243"/>
      <c r="FY103" s="243"/>
      <c r="FZ103" s="243"/>
      <c r="GA103" s="243"/>
      <c r="GB103" s="243"/>
      <c r="GC103" s="243"/>
      <c r="GD103" s="243"/>
      <c r="GE103" s="243"/>
      <c r="GF103" s="243"/>
      <c r="GG103" s="243"/>
      <c r="GH103" s="243"/>
      <c r="GI103" s="243"/>
      <c r="GJ103" s="243"/>
      <c r="GK103" s="243"/>
      <c r="GL103" s="243"/>
      <c r="GM103" s="243"/>
      <c r="GN103" s="243"/>
      <c r="GO103" s="243"/>
      <c r="GP103" s="243"/>
      <c r="GQ103" s="243"/>
      <c r="GR103" s="243"/>
      <c r="GS103" s="243"/>
      <c r="GT103" s="243"/>
      <c r="GU103" s="243"/>
      <c r="GV103" s="243"/>
      <c r="GW103" s="243"/>
      <c r="GX103" s="243"/>
      <c r="GY103" s="243"/>
      <c r="GZ103" s="243"/>
      <c r="HA103" s="243"/>
      <c r="HB103" s="243"/>
      <c r="HC103" s="243"/>
      <c r="HD103" s="243"/>
      <c r="HE103" s="243"/>
      <c r="HF103" s="243"/>
      <c r="HG103" s="243"/>
      <c r="HH103" s="243"/>
      <c r="HI103" s="243"/>
      <c r="HJ103" s="243"/>
      <c r="HK103" s="243"/>
      <c r="HL103" s="243"/>
      <c r="HM103" s="243"/>
      <c r="HN103" s="243"/>
      <c r="HO103" s="243"/>
      <c r="HP103" s="243"/>
      <c r="HQ103" s="243"/>
      <c r="HR103" s="243"/>
      <c r="HS103" s="243"/>
      <c r="HT103" s="243"/>
      <c r="HU103" s="243"/>
      <c r="HV103" s="243"/>
      <c r="HW103" s="243"/>
      <c r="HX103" s="243"/>
      <c r="HY103" s="243"/>
      <c r="HZ103" s="243"/>
      <c r="IA103" s="243"/>
    </row>
    <row r="104" spans="1:235" s="244" customFormat="1" ht="14.25" customHeight="1" x14ac:dyDescent="0.25">
      <c r="A104" s="241">
        <v>2</v>
      </c>
      <c r="B104" s="242"/>
      <c r="C104" s="366" t="s">
        <v>333</v>
      </c>
      <c r="D104" s="364" t="s">
        <v>177</v>
      </c>
      <c r="E104" s="365">
        <f>E103*0.35</f>
        <v>192.535</v>
      </c>
      <c r="F104" s="63"/>
      <c r="G104" s="64"/>
      <c r="H104" s="65"/>
      <c r="I104" s="64"/>
      <c r="J104" s="64"/>
      <c r="K104" s="66"/>
      <c r="L104" s="67"/>
      <c r="M104" s="64"/>
      <c r="N104" s="64"/>
      <c r="O104" s="64"/>
      <c r="P104" s="68"/>
      <c r="Q104" s="69"/>
      <c r="R104" s="137"/>
      <c r="S104" s="69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3"/>
      <c r="AL104" s="243"/>
      <c r="AM104" s="243"/>
      <c r="AN104" s="243"/>
      <c r="AO104" s="243"/>
      <c r="AP104" s="243"/>
      <c r="AQ104" s="243"/>
      <c r="AR104" s="243"/>
      <c r="AS104" s="243"/>
      <c r="AT104" s="243"/>
      <c r="AU104" s="243"/>
      <c r="AV104" s="243"/>
      <c r="AW104" s="243"/>
      <c r="AX104" s="243"/>
      <c r="AY104" s="243"/>
      <c r="AZ104" s="243"/>
      <c r="BA104" s="243"/>
      <c r="BB104" s="243"/>
      <c r="BC104" s="243"/>
      <c r="BD104" s="243"/>
      <c r="BE104" s="243"/>
      <c r="BF104" s="243"/>
      <c r="BG104" s="243"/>
      <c r="BH104" s="243"/>
      <c r="BI104" s="243"/>
      <c r="BJ104" s="243"/>
      <c r="BK104" s="243"/>
      <c r="BL104" s="243"/>
      <c r="BM104" s="243"/>
      <c r="BN104" s="243"/>
      <c r="BO104" s="243"/>
      <c r="BP104" s="243"/>
      <c r="BQ104" s="243"/>
      <c r="BR104" s="243"/>
      <c r="BS104" s="243"/>
      <c r="BT104" s="243"/>
      <c r="BU104" s="243"/>
      <c r="BV104" s="243"/>
      <c r="BW104" s="243"/>
      <c r="BX104" s="243"/>
      <c r="BY104" s="243"/>
      <c r="BZ104" s="243"/>
      <c r="CA104" s="243"/>
      <c r="CB104" s="243"/>
      <c r="CC104" s="243"/>
      <c r="CD104" s="243"/>
      <c r="CE104" s="243"/>
      <c r="CF104" s="243"/>
      <c r="CG104" s="243"/>
      <c r="CH104" s="243"/>
      <c r="CI104" s="243"/>
      <c r="CJ104" s="243"/>
      <c r="CK104" s="243"/>
      <c r="CL104" s="243"/>
      <c r="CM104" s="243"/>
      <c r="CN104" s="243"/>
      <c r="CO104" s="243"/>
      <c r="CP104" s="243"/>
      <c r="CQ104" s="243"/>
      <c r="CR104" s="243"/>
      <c r="CS104" s="243"/>
      <c r="CT104" s="243"/>
      <c r="CU104" s="243"/>
      <c r="CV104" s="243"/>
      <c r="CW104" s="243"/>
      <c r="CX104" s="243"/>
      <c r="CY104" s="243"/>
      <c r="CZ104" s="243"/>
      <c r="DA104" s="243"/>
      <c r="DB104" s="243"/>
      <c r="DC104" s="243"/>
      <c r="DD104" s="243"/>
      <c r="DE104" s="243"/>
      <c r="DF104" s="243"/>
      <c r="DG104" s="243"/>
      <c r="DH104" s="243"/>
      <c r="DI104" s="243"/>
      <c r="DJ104" s="243"/>
      <c r="DK104" s="243"/>
      <c r="DL104" s="243"/>
      <c r="DM104" s="243"/>
      <c r="DN104" s="243"/>
      <c r="DO104" s="243"/>
      <c r="DP104" s="243"/>
      <c r="DQ104" s="243"/>
      <c r="DR104" s="243"/>
      <c r="DS104" s="243"/>
      <c r="DT104" s="243"/>
      <c r="DU104" s="243"/>
      <c r="DV104" s="243"/>
      <c r="DW104" s="243"/>
      <c r="DX104" s="243"/>
      <c r="DY104" s="243"/>
      <c r="DZ104" s="243"/>
      <c r="EA104" s="243"/>
      <c r="EB104" s="243"/>
      <c r="EC104" s="243"/>
      <c r="ED104" s="243"/>
      <c r="EE104" s="243"/>
      <c r="EF104" s="243"/>
      <c r="EG104" s="243"/>
      <c r="EH104" s="243"/>
      <c r="EI104" s="243"/>
      <c r="EJ104" s="243"/>
      <c r="EK104" s="243"/>
      <c r="EL104" s="243"/>
      <c r="EM104" s="243"/>
      <c r="EN104" s="243"/>
      <c r="EO104" s="243"/>
      <c r="EP104" s="243"/>
      <c r="EQ104" s="243"/>
      <c r="ER104" s="243"/>
      <c r="ES104" s="243"/>
      <c r="ET104" s="243"/>
      <c r="EU104" s="243"/>
      <c r="EV104" s="243"/>
      <c r="EW104" s="243"/>
      <c r="EX104" s="243"/>
      <c r="EY104" s="243"/>
      <c r="EZ104" s="243"/>
      <c r="FA104" s="243"/>
      <c r="FB104" s="243"/>
      <c r="FC104" s="243"/>
      <c r="FD104" s="243"/>
      <c r="FE104" s="243"/>
      <c r="FF104" s="243"/>
      <c r="FG104" s="243"/>
      <c r="FH104" s="243"/>
      <c r="FI104" s="243"/>
      <c r="FJ104" s="243"/>
      <c r="FK104" s="243"/>
      <c r="FL104" s="243"/>
      <c r="FM104" s="243"/>
      <c r="FN104" s="243"/>
      <c r="FO104" s="243"/>
      <c r="FP104" s="243"/>
      <c r="FQ104" s="243"/>
      <c r="FR104" s="243"/>
      <c r="FS104" s="243"/>
      <c r="FT104" s="243"/>
      <c r="FU104" s="243"/>
      <c r="FV104" s="243"/>
      <c r="FW104" s="243"/>
      <c r="FX104" s="243"/>
      <c r="FY104" s="243"/>
      <c r="FZ104" s="243"/>
      <c r="GA104" s="243"/>
      <c r="GB104" s="243"/>
      <c r="GC104" s="243"/>
      <c r="GD104" s="243"/>
      <c r="GE104" s="243"/>
      <c r="GF104" s="243"/>
      <c r="GG104" s="243"/>
      <c r="GH104" s="243"/>
      <c r="GI104" s="243"/>
      <c r="GJ104" s="243"/>
      <c r="GK104" s="243"/>
      <c r="GL104" s="243"/>
      <c r="GM104" s="243"/>
      <c r="GN104" s="243"/>
      <c r="GO104" s="243"/>
      <c r="GP104" s="243"/>
      <c r="GQ104" s="243"/>
      <c r="GR104" s="243"/>
      <c r="GS104" s="243"/>
      <c r="GT104" s="243"/>
      <c r="GU104" s="243"/>
      <c r="GV104" s="243"/>
      <c r="GW104" s="243"/>
      <c r="GX104" s="243"/>
      <c r="GY104" s="243"/>
      <c r="GZ104" s="243"/>
      <c r="HA104" s="243"/>
      <c r="HB104" s="243"/>
      <c r="HC104" s="243"/>
      <c r="HD104" s="243"/>
      <c r="HE104" s="243"/>
      <c r="HF104" s="243"/>
      <c r="HG104" s="243"/>
      <c r="HH104" s="243"/>
      <c r="HI104" s="243"/>
      <c r="HJ104" s="243"/>
      <c r="HK104" s="243"/>
      <c r="HL104" s="243"/>
      <c r="HM104" s="243"/>
      <c r="HN104" s="243"/>
      <c r="HO104" s="243"/>
      <c r="HP104" s="243"/>
      <c r="HQ104" s="243"/>
      <c r="HR104" s="243"/>
      <c r="HS104" s="243"/>
      <c r="HT104" s="243"/>
      <c r="HU104" s="243"/>
      <c r="HV104" s="243"/>
      <c r="HW104" s="243"/>
      <c r="HX104" s="243"/>
      <c r="HY104" s="243"/>
      <c r="HZ104" s="243"/>
      <c r="IA104" s="243"/>
    </row>
    <row r="105" spans="1:235" s="244" customFormat="1" ht="14.25" customHeight="1" x14ac:dyDescent="0.25">
      <c r="A105" s="241">
        <v>3</v>
      </c>
      <c r="B105" s="242"/>
      <c r="C105" s="366" t="s">
        <v>334</v>
      </c>
      <c r="D105" s="364" t="s">
        <v>177</v>
      </c>
      <c r="E105" s="365">
        <f>E104</f>
        <v>192.535</v>
      </c>
      <c r="F105" s="63"/>
      <c r="G105" s="64"/>
      <c r="H105" s="65"/>
      <c r="I105" s="64"/>
      <c r="J105" s="64"/>
      <c r="K105" s="66"/>
      <c r="L105" s="67"/>
      <c r="M105" s="64"/>
      <c r="N105" s="64"/>
      <c r="O105" s="64"/>
      <c r="P105" s="68"/>
      <c r="Q105" s="69"/>
      <c r="R105" s="137"/>
      <c r="S105" s="69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243"/>
      <c r="AK105" s="243"/>
      <c r="AL105" s="243"/>
      <c r="AM105" s="243"/>
      <c r="AN105" s="243"/>
      <c r="AO105" s="243"/>
      <c r="AP105" s="243"/>
      <c r="AQ105" s="243"/>
      <c r="AR105" s="243"/>
      <c r="AS105" s="243"/>
      <c r="AT105" s="243"/>
      <c r="AU105" s="243"/>
      <c r="AV105" s="243"/>
      <c r="AW105" s="243"/>
      <c r="AX105" s="243"/>
      <c r="AY105" s="243"/>
      <c r="AZ105" s="243"/>
      <c r="BA105" s="243"/>
      <c r="BB105" s="243"/>
      <c r="BC105" s="243"/>
      <c r="BD105" s="243"/>
      <c r="BE105" s="243"/>
      <c r="BF105" s="243"/>
      <c r="BG105" s="243"/>
      <c r="BH105" s="243"/>
      <c r="BI105" s="243"/>
      <c r="BJ105" s="243"/>
      <c r="BK105" s="243"/>
      <c r="BL105" s="243"/>
      <c r="BM105" s="243"/>
      <c r="BN105" s="243"/>
      <c r="BO105" s="243"/>
      <c r="BP105" s="243"/>
      <c r="BQ105" s="243"/>
      <c r="BR105" s="243"/>
      <c r="BS105" s="243"/>
      <c r="BT105" s="243"/>
      <c r="BU105" s="243"/>
      <c r="BV105" s="243"/>
      <c r="BW105" s="243"/>
      <c r="BX105" s="243"/>
      <c r="BY105" s="243"/>
      <c r="BZ105" s="243"/>
      <c r="CA105" s="243"/>
      <c r="CB105" s="243"/>
      <c r="CC105" s="243"/>
      <c r="CD105" s="243"/>
      <c r="CE105" s="243"/>
      <c r="CF105" s="243"/>
      <c r="CG105" s="243"/>
      <c r="CH105" s="243"/>
      <c r="CI105" s="243"/>
      <c r="CJ105" s="243"/>
      <c r="CK105" s="243"/>
      <c r="CL105" s="243"/>
      <c r="CM105" s="243"/>
      <c r="CN105" s="243"/>
      <c r="CO105" s="243"/>
      <c r="CP105" s="243"/>
      <c r="CQ105" s="243"/>
      <c r="CR105" s="243"/>
      <c r="CS105" s="243"/>
      <c r="CT105" s="243"/>
      <c r="CU105" s="243"/>
      <c r="CV105" s="243"/>
      <c r="CW105" s="243"/>
      <c r="CX105" s="243"/>
      <c r="CY105" s="243"/>
      <c r="CZ105" s="243"/>
      <c r="DA105" s="243"/>
      <c r="DB105" s="243"/>
      <c r="DC105" s="243"/>
      <c r="DD105" s="243"/>
      <c r="DE105" s="243"/>
      <c r="DF105" s="243"/>
      <c r="DG105" s="243"/>
      <c r="DH105" s="243"/>
      <c r="DI105" s="243"/>
      <c r="DJ105" s="243"/>
      <c r="DK105" s="243"/>
      <c r="DL105" s="243"/>
      <c r="DM105" s="243"/>
      <c r="DN105" s="243"/>
      <c r="DO105" s="243"/>
      <c r="DP105" s="243"/>
      <c r="DQ105" s="243"/>
      <c r="DR105" s="243"/>
      <c r="DS105" s="243"/>
      <c r="DT105" s="243"/>
      <c r="DU105" s="243"/>
      <c r="DV105" s="243"/>
      <c r="DW105" s="243"/>
      <c r="DX105" s="243"/>
      <c r="DY105" s="243"/>
      <c r="DZ105" s="243"/>
      <c r="EA105" s="243"/>
      <c r="EB105" s="243"/>
      <c r="EC105" s="243"/>
      <c r="ED105" s="243"/>
      <c r="EE105" s="243"/>
      <c r="EF105" s="243"/>
      <c r="EG105" s="243"/>
      <c r="EH105" s="243"/>
      <c r="EI105" s="243"/>
      <c r="EJ105" s="243"/>
      <c r="EK105" s="243"/>
      <c r="EL105" s="243"/>
      <c r="EM105" s="243"/>
      <c r="EN105" s="243"/>
      <c r="EO105" s="243"/>
      <c r="EP105" s="243"/>
      <c r="EQ105" s="243"/>
      <c r="ER105" s="243"/>
      <c r="ES105" s="243"/>
      <c r="ET105" s="243"/>
      <c r="EU105" s="243"/>
      <c r="EV105" s="243"/>
      <c r="EW105" s="243"/>
      <c r="EX105" s="243"/>
      <c r="EY105" s="243"/>
      <c r="EZ105" s="243"/>
      <c r="FA105" s="243"/>
      <c r="FB105" s="243"/>
      <c r="FC105" s="243"/>
      <c r="FD105" s="243"/>
      <c r="FE105" s="243"/>
      <c r="FF105" s="243"/>
      <c r="FG105" s="243"/>
      <c r="FH105" s="243"/>
      <c r="FI105" s="243"/>
      <c r="FJ105" s="243"/>
      <c r="FK105" s="243"/>
      <c r="FL105" s="243"/>
      <c r="FM105" s="243"/>
      <c r="FN105" s="243"/>
      <c r="FO105" s="243"/>
      <c r="FP105" s="243"/>
      <c r="FQ105" s="243"/>
      <c r="FR105" s="243"/>
      <c r="FS105" s="243"/>
      <c r="FT105" s="243"/>
      <c r="FU105" s="243"/>
      <c r="FV105" s="243"/>
      <c r="FW105" s="243"/>
      <c r="FX105" s="243"/>
      <c r="FY105" s="243"/>
      <c r="FZ105" s="243"/>
      <c r="GA105" s="243"/>
      <c r="GB105" s="243"/>
      <c r="GC105" s="243"/>
      <c r="GD105" s="243"/>
      <c r="GE105" s="243"/>
      <c r="GF105" s="243"/>
      <c r="GG105" s="243"/>
      <c r="GH105" s="243"/>
      <c r="GI105" s="243"/>
      <c r="GJ105" s="243"/>
      <c r="GK105" s="243"/>
      <c r="GL105" s="243"/>
      <c r="GM105" s="243"/>
      <c r="GN105" s="243"/>
      <c r="GO105" s="243"/>
      <c r="GP105" s="243"/>
      <c r="GQ105" s="243"/>
      <c r="GR105" s="243"/>
      <c r="GS105" s="243"/>
      <c r="GT105" s="243"/>
      <c r="GU105" s="243"/>
      <c r="GV105" s="243"/>
      <c r="GW105" s="243"/>
      <c r="GX105" s="243"/>
      <c r="GY105" s="243"/>
      <c r="GZ105" s="243"/>
      <c r="HA105" s="243"/>
      <c r="HB105" s="243"/>
      <c r="HC105" s="243"/>
      <c r="HD105" s="243"/>
      <c r="HE105" s="243"/>
      <c r="HF105" s="243"/>
      <c r="HG105" s="243"/>
      <c r="HH105" s="243"/>
      <c r="HI105" s="243"/>
      <c r="HJ105" s="243"/>
      <c r="HK105" s="243"/>
      <c r="HL105" s="243"/>
      <c r="HM105" s="243"/>
      <c r="HN105" s="243"/>
      <c r="HO105" s="243"/>
      <c r="HP105" s="243"/>
      <c r="HQ105" s="243"/>
      <c r="HR105" s="243"/>
      <c r="HS105" s="243"/>
      <c r="HT105" s="243"/>
      <c r="HU105" s="243"/>
      <c r="HV105" s="243"/>
      <c r="HW105" s="243"/>
      <c r="HX105" s="243"/>
      <c r="HY105" s="243"/>
      <c r="HZ105" s="243"/>
      <c r="IA105" s="243"/>
    </row>
    <row r="106" spans="1:235" s="244" customFormat="1" ht="14.25" customHeight="1" x14ac:dyDescent="0.25">
      <c r="A106" s="241">
        <v>4</v>
      </c>
      <c r="B106" s="242"/>
      <c r="C106" s="366" t="s">
        <v>246</v>
      </c>
      <c r="D106" s="364" t="s">
        <v>124</v>
      </c>
      <c r="E106" s="365">
        <f>E103</f>
        <v>550.1</v>
      </c>
      <c r="F106" s="63"/>
      <c r="G106" s="64"/>
      <c r="H106" s="65"/>
      <c r="I106" s="64"/>
      <c r="J106" s="64"/>
      <c r="K106" s="66"/>
      <c r="L106" s="67"/>
      <c r="M106" s="64"/>
      <c r="N106" s="64"/>
      <c r="O106" s="64"/>
      <c r="P106" s="68"/>
      <c r="Q106" s="69"/>
      <c r="R106" s="137"/>
      <c r="S106" s="69"/>
      <c r="T106" s="243"/>
      <c r="U106" s="243"/>
      <c r="V106" s="243"/>
      <c r="W106" s="243"/>
      <c r="X106" s="243"/>
      <c r="Y106" s="243"/>
      <c r="Z106" s="243"/>
      <c r="AA106" s="243"/>
      <c r="AB106" s="243"/>
      <c r="AC106" s="243"/>
      <c r="AD106" s="243"/>
      <c r="AE106" s="243"/>
      <c r="AF106" s="243"/>
      <c r="AG106" s="243"/>
      <c r="AH106" s="243"/>
      <c r="AI106" s="243"/>
      <c r="AJ106" s="243"/>
      <c r="AK106" s="243"/>
      <c r="AL106" s="243"/>
      <c r="AM106" s="243"/>
      <c r="AN106" s="243"/>
      <c r="AO106" s="243"/>
      <c r="AP106" s="243"/>
      <c r="AQ106" s="243"/>
      <c r="AR106" s="243"/>
      <c r="AS106" s="243"/>
      <c r="AT106" s="243"/>
      <c r="AU106" s="243"/>
      <c r="AV106" s="243"/>
      <c r="AW106" s="243"/>
      <c r="AX106" s="243"/>
      <c r="AY106" s="243"/>
      <c r="AZ106" s="243"/>
      <c r="BA106" s="243"/>
      <c r="BB106" s="243"/>
      <c r="BC106" s="243"/>
      <c r="BD106" s="243"/>
      <c r="BE106" s="243"/>
      <c r="BF106" s="243"/>
      <c r="BG106" s="243"/>
      <c r="BH106" s="243"/>
      <c r="BI106" s="243"/>
      <c r="BJ106" s="243"/>
      <c r="BK106" s="243"/>
      <c r="BL106" s="243"/>
      <c r="BM106" s="243"/>
      <c r="BN106" s="243"/>
      <c r="BO106" s="243"/>
      <c r="BP106" s="243"/>
      <c r="BQ106" s="243"/>
      <c r="BR106" s="243"/>
      <c r="BS106" s="243"/>
      <c r="BT106" s="243"/>
      <c r="BU106" s="243"/>
      <c r="BV106" s="243"/>
      <c r="BW106" s="243"/>
      <c r="BX106" s="243"/>
      <c r="BY106" s="243"/>
      <c r="BZ106" s="243"/>
      <c r="CA106" s="243"/>
      <c r="CB106" s="243"/>
      <c r="CC106" s="243"/>
      <c r="CD106" s="243"/>
      <c r="CE106" s="243"/>
      <c r="CF106" s="243"/>
      <c r="CG106" s="243"/>
      <c r="CH106" s="243"/>
      <c r="CI106" s="243"/>
      <c r="CJ106" s="243"/>
      <c r="CK106" s="243"/>
      <c r="CL106" s="243"/>
      <c r="CM106" s="243"/>
      <c r="CN106" s="243"/>
      <c r="CO106" s="243"/>
      <c r="CP106" s="243"/>
      <c r="CQ106" s="243"/>
      <c r="CR106" s="243"/>
      <c r="CS106" s="243"/>
      <c r="CT106" s="243"/>
      <c r="CU106" s="243"/>
      <c r="CV106" s="243"/>
      <c r="CW106" s="243"/>
      <c r="CX106" s="243"/>
      <c r="CY106" s="243"/>
      <c r="CZ106" s="243"/>
      <c r="DA106" s="243"/>
      <c r="DB106" s="243"/>
      <c r="DC106" s="243"/>
      <c r="DD106" s="243"/>
      <c r="DE106" s="243"/>
      <c r="DF106" s="243"/>
      <c r="DG106" s="243"/>
      <c r="DH106" s="243"/>
      <c r="DI106" s="243"/>
      <c r="DJ106" s="243"/>
      <c r="DK106" s="243"/>
      <c r="DL106" s="243"/>
      <c r="DM106" s="243"/>
      <c r="DN106" s="243"/>
      <c r="DO106" s="243"/>
      <c r="DP106" s="243"/>
      <c r="DQ106" s="243"/>
      <c r="DR106" s="243"/>
      <c r="DS106" s="243"/>
      <c r="DT106" s="243"/>
      <c r="DU106" s="243"/>
      <c r="DV106" s="243"/>
      <c r="DW106" s="243"/>
      <c r="DX106" s="243"/>
      <c r="DY106" s="243"/>
      <c r="DZ106" s="243"/>
      <c r="EA106" s="243"/>
      <c r="EB106" s="243"/>
      <c r="EC106" s="243"/>
      <c r="ED106" s="243"/>
      <c r="EE106" s="243"/>
      <c r="EF106" s="243"/>
      <c r="EG106" s="243"/>
      <c r="EH106" s="243"/>
      <c r="EI106" s="243"/>
      <c r="EJ106" s="243"/>
      <c r="EK106" s="243"/>
      <c r="EL106" s="243"/>
      <c r="EM106" s="243"/>
      <c r="EN106" s="243"/>
      <c r="EO106" s="243"/>
      <c r="EP106" s="243"/>
      <c r="EQ106" s="243"/>
      <c r="ER106" s="243"/>
      <c r="ES106" s="243"/>
      <c r="ET106" s="243"/>
      <c r="EU106" s="243"/>
      <c r="EV106" s="243"/>
      <c r="EW106" s="243"/>
      <c r="EX106" s="243"/>
      <c r="EY106" s="243"/>
      <c r="EZ106" s="243"/>
      <c r="FA106" s="243"/>
      <c r="FB106" s="243"/>
      <c r="FC106" s="243"/>
      <c r="FD106" s="243"/>
      <c r="FE106" s="243"/>
      <c r="FF106" s="243"/>
      <c r="FG106" s="243"/>
      <c r="FH106" s="243"/>
      <c r="FI106" s="243"/>
      <c r="FJ106" s="243"/>
      <c r="FK106" s="243"/>
      <c r="FL106" s="243"/>
      <c r="FM106" s="243"/>
      <c r="FN106" s="243"/>
      <c r="FO106" s="243"/>
      <c r="FP106" s="243"/>
      <c r="FQ106" s="243"/>
      <c r="FR106" s="243"/>
      <c r="FS106" s="243"/>
      <c r="FT106" s="243"/>
      <c r="FU106" s="243"/>
      <c r="FV106" s="243"/>
      <c r="FW106" s="243"/>
      <c r="FX106" s="243"/>
      <c r="FY106" s="243"/>
      <c r="FZ106" s="243"/>
      <c r="GA106" s="243"/>
      <c r="GB106" s="243"/>
      <c r="GC106" s="243"/>
      <c r="GD106" s="243"/>
      <c r="GE106" s="243"/>
      <c r="GF106" s="243"/>
      <c r="GG106" s="243"/>
      <c r="GH106" s="243"/>
      <c r="GI106" s="243"/>
      <c r="GJ106" s="243"/>
      <c r="GK106" s="243"/>
      <c r="GL106" s="243"/>
      <c r="GM106" s="243"/>
      <c r="GN106" s="243"/>
      <c r="GO106" s="243"/>
      <c r="GP106" s="243"/>
      <c r="GQ106" s="243"/>
      <c r="GR106" s="243"/>
      <c r="GS106" s="243"/>
      <c r="GT106" s="243"/>
      <c r="GU106" s="243"/>
      <c r="GV106" s="243"/>
      <c r="GW106" s="243"/>
      <c r="GX106" s="243"/>
      <c r="GY106" s="243"/>
      <c r="GZ106" s="243"/>
      <c r="HA106" s="243"/>
      <c r="HB106" s="243"/>
      <c r="HC106" s="243"/>
      <c r="HD106" s="243"/>
      <c r="HE106" s="243"/>
      <c r="HF106" s="243"/>
      <c r="HG106" s="243"/>
      <c r="HH106" s="243"/>
      <c r="HI106" s="243"/>
      <c r="HJ106" s="243"/>
      <c r="HK106" s="243"/>
      <c r="HL106" s="243"/>
      <c r="HM106" s="243"/>
      <c r="HN106" s="243"/>
      <c r="HO106" s="243"/>
      <c r="HP106" s="243"/>
      <c r="HQ106" s="243"/>
      <c r="HR106" s="243"/>
      <c r="HS106" s="243"/>
      <c r="HT106" s="243"/>
      <c r="HU106" s="243"/>
      <c r="HV106" s="243"/>
      <c r="HW106" s="243"/>
      <c r="HX106" s="243"/>
      <c r="HY106" s="243"/>
      <c r="HZ106" s="243"/>
      <c r="IA106" s="243"/>
    </row>
    <row r="107" spans="1:235" s="244" customFormat="1" ht="14.25" customHeight="1" x14ac:dyDescent="0.25">
      <c r="A107" s="241"/>
      <c r="B107" s="242"/>
      <c r="C107" s="367" t="s">
        <v>621</v>
      </c>
      <c r="D107" s="364"/>
      <c r="E107" s="365"/>
      <c r="F107" s="63"/>
      <c r="G107" s="64"/>
      <c r="H107" s="65"/>
      <c r="I107" s="64"/>
      <c r="J107" s="64"/>
      <c r="K107" s="66"/>
      <c r="L107" s="67"/>
      <c r="M107" s="64"/>
      <c r="N107" s="64"/>
      <c r="O107" s="64"/>
      <c r="P107" s="68"/>
      <c r="Q107" s="69"/>
      <c r="R107" s="137"/>
      <c r="S107" s="69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243"/>
      <c r="AG107" s="243"/>
      <c r="AH107" s="243"/>
      <c r="AI107" s="243"/>
      <c r="AJ107" s="243"/>
      <c r="AK107" s="243"/>
      <c r="AL107" s="243"/>
      <c r="AM107" s="243"/>
      <c r="AN107" s="243"/>
      <c r="AO107" s="243"/>
      <c r="AP107" s="243"/>
      <c r="AQ107" s="243"/>
      <c r="AR107" s="243"/>
      <c r="AS107" s="243"/>
      <c r="AT107" s="243"/>
      <c r="AU107" s="243"/>
      <c r="AV107" s="243"/>
      <c r="AW107" s="243"/>
      <c r="AX107" s="243"/>
      <c r="AY107" s="243"/>
      <c r="AZ107" s="243"/>
      <c r="BA107" s="243"/>
      <c r="BB107" s="243"/>
      <c r="BC107" s="243"/>
      <c r="BD107" s="243"/>
      <c r="BE107" s="243"/>
      <c r="BF107" s="243"/>
      <c r="BG107" s="243"/>
      <c r="BH107" s="243"/>
      <c r="BI107" s="243"/>
      <c r="BJ107" s="243"/>
      <c r="BK107" s="243"/>
      <c r="BL107" s="243"/>
      <c r="BM107" s="243"/>
      <c r="BN107" s="243"/>
      <c r="BO107" s="243"/>
      <c r="BP107" s="243"/>
      <c r="BQ107" s="243"/>
      <c r="BR107" s="243"/>
      <c r="BS107" s="243"/>
      <c r="BT107" s="243"/>
      <c r="BU107" s="243"/>
      <c r="BV107" s="243"/>
      <c r="BW107" s="243"/>
      <c r="BX107" s="243"/>
      <c r="BY107" s="243"/>
      <c r="BZ107" s="243"/>
      <c r="CA107" s="243"/>
      <c r="CB107" s="243"/>
      <c r="CC107" s="243"/>
      <c r="CD107" s="243"/>
      <c r="CE107" s="243"/>
      <c r="CF107" s="243"/>
      <c r="CG107" s="243"/>
      <c r="CH107" s="243"/>
      <c r="CI107" s="243"/>
      <c r="CJ107" s="243"/>
      <c r="CK107" s="243"/>
      <c r="CL107" s="243"/>
      <c r="CM107" s="243"/>
      <c r="CN107" s="243"/>
      <c r="CO107" s="243"/>
      <c r="CP107" s="243"/>
      <c r="CQ107" s="243"/>
      <c r="CR107" s="243"/>
      <c r="CS107" s="243"/>
      <c r="CT107" s="243"/>
      <c r="CU107" s="243"/>
      <c r="CV107" s="243"/>
      <c r="CW107" s="243"/>
      <c r="CX107" s="243"/>
      <c r="CY107" s="243"/>
      <c r="CZ107" s="243"/>
      <c r="DA107" s="243"/>
      <c r="DB107" s="243"/>
      <c r="DC107" s="243"/>
      <c r="DD107" s="243"/>
      <c r="DE107" s="243"/>
      <c r="DF107" s="243"/>
      <c r="DG107" s="243"/>
      <c r="DH107" s="243"/>
      <c r="DI107" s="243"/>
      <c r="DJ107" s="243"/>
      <c r="DK107" s="243"/>
      <c r="DL107" s="243"/>
      <c r="DM107" s="243"/>
      <c r="DN107" s="243"/>
      <c r="DO107" s="243"/>
      <c r="DP107" s="243"/>
      <c r="DQ107" s="243"/>
      <c r="DR107" s="243"/>
      <c r="DS107" s="243"/>
      <c r="DT107" s="243"/>
      <c r="DU107" s="243"/>
      <c r="DV107" s="243"/>
      <c r="DW107" s="243"/>
      <c r="DX107" s="243"/>
      <c r="DY107" s="243"/>
      <c r="DZ107" s="243"/>
      <c r="EA107" s="243"/>
      <c r="EB107" s="243"/>
      <c r="EC107" s="243"/>
      <c r="ED107" s="243"/>
      <c r="EE107" s="243"/>
      <c r="EF107" s="243"/>
      <c r="EG107" s="243"/>
      <c r="EH107" s="243"/>
      <c r="EI107" s="243"/>
      <c r="EJ107" s="243"/>
      <c r="EK107" s="243"/>
      <c r="EL107" s="243"/>
      <c r="EM107" s="243"/>
      <c r="EN107" s="243"/>
      <c r="EO107" s="243"/>
      <c r="EP107" s="243"/>
      <c r="EQ107" s="243"/>
      <c r="ER107" s="243"/>
      <c r="ES107" s="243"/>
      <c r="ET107" s="243"/>
      <c r="EU107" s="243"/>
      <c r="EV107" s="243"/>
      <c r="EW107" s="243"/>
      <c r="EX107" s="243"/>
      <c r="EY107" s="243"/>
      <c r="EZ107" s="243"/>
      <c r="FA107" s="243"/>
      <c r="FB107" s="243"/>
      <c r="FC107" s="243"/>
      <c r="FD107" s="243"/>
      <c r="FE107" s="243"/>
      <c r="FF107" s="243"/>
      <c r="FG107" s="243"/>
      <c r="FH107" s="243"/>
      <c r="FI107" s="243"/>
      <c r="FJ107" s="243"/>
      <c r="FK107" s="243"/>
      <c r="FL107" s="243"/>
      <c r="FM107" s="243"/>
      <c r="FN107" s="243"/>
      <c r="FO107" s="243"/>
      <c r="FP107" s="243"/>
      <c r="FQ107" s="243"/>
      <c r="FR107" s="243"/>
      <c r="FS107" s="243"/>
      <c r="FT107" s="243"/>
      <c r="FU107" s="243"/>
      <c r="FV107" s="243"/>
      <c r="FW107" s="243"/>
      <c r="FX107" s="243"/>
      <c r="FY107" s="243"/>
      <c r="FZ107" s="243"/>
      <c r="GA107" s="243"/>
      <c r="GB107" s="243"/>
      <c r="GC107" s="243"/>
      <c r="GD107" s="243"/>
      <c r="GE107" s="243"/>
      <c r="GF107" s="243"/>
      <c r="GG107" s="243"/>
      <c r="GH107" s="243"/>
      <c r="GI107" s="243"/>
      <c r="GJ107" s="243"/>
      <c r="GK107" s="243"/>
      <c r="GL107" s="243"/>
      <c r="GM107" s="243"/>
      <c r="GN107" s="243"/>
      <c r="GO107" s="243"/>
      <c r="GP107" s="243"/>
      <c r="GQ107" s="243"/>
      <c r="GR107" s="243"/>
      <c r="GS107" s="243"/>
      <c r="GT107" s="243"/>
      <c r="GU107" s="243"/>
      <c r="GV107" s="243"/>
      <c r="GW107" s="243"/>
      <c r="GX107" s="243"/>
      <c r="GY107" s="243"/>
      <c r="GZ107" s="243"/>
      <c r="HA107" s="243"/>
      <c r="HB107" s="243"/>
      <c r="HC107" s="243"/>
      <c r="HD107" s="243"/>
      <c r="HE107" s="243"/>
      <c r="HF107" s="243"/>
      <c r="HG107" s="243"/>
      <c r="HH107" s="243"/>
      <c r="HI107" s="243"/>
      <c r="HJ107" s="243"/>
      <c r="HK107" s="243"/>
      <c r="HL107" s="243"/>
      <c r="HM107" s="243"/>
      <c r="HN107" s="243"/>
      <c r="HO107" s="243"/>
      <c r="HP107" s="243"/>
      <c r="HQ107" s="243"/>
      <c r="HR107" s="243"/>
      <c r="HS107" s="243"/>
      <c r="HT107" s="243"/>
      <c r="HU107" s="243"/>
      <c r="HV107" s="243"/>
      <c r="HW107" s="243"/>
      <c r="HX107" s="243"/>
      <c r="HY107" s="243"/>
      <c r="HZ107" s="243"/>
      <c r="IA107" s="243"/>
    </row>
    <row r="108" spans="1:235" s="244" customFormat="1" ht="14.25" customHeight="1" x14ac:dyDescent="0.25">
      <c r="A108" s="241">
        <v>1</v>
      </c>
      <c r="B108" s="242" t="s">
        <v>108</v>
      </c>
      <c r="C108" s="363" t="s">
        <v>622</v>
      </c>
      <c r="D108" s="364" t="s">
        <v>124</v>
      </c>
      <c r="E108" s="365">
        <f>30.4+25.1</f>
        <v>55.5</v>
      </c>
      <c r="F108" s="63"/>
      <c r="G108" s="64"/>
      <c r="H108" s="65"/>
      <c r="I108" s="64"/>
      <c r="J108" s="64"/>
      <c r="K108" s="66"/>
      <c r="L108" s="67"/>
      <c r="M108" s="64"/>
      <c r="N108" s="64"/>
      <c r="O108" s="64"/>
      <c r="P108" s="68"/>
      <c r="Q108" s="69"/>
      <c r="R108" s="137"/>
      <c r="S108" s="69"/>
      <c r="T108" s="243"/>
      <c r="U108" s="243"/>
      <c r="V108" s="243"/>
      <c r="W108" s="243"/>
      <c r="X108" s="243"/>
      <c r="Y108" s="243"/>
      <c r="Z108" s="243"/>
      <c r="AA108" s="243"/>
      <c r="AB108" s="243"/>
      <c r="AC108" s="243"/>
      <c r="AD108" s="243"/>
      <c r="AE108" s="243"/>
      <c r="AF108" s="243"/>
      <c r="AG108" s="243"/>
      <c r="AH108" s="243"/>
      <c r="AI108" s="243"/>
      <c r="AJ108" s="243"/>
      <c r="AK108" s="243"/>
      <c r="AL108" s="243"/>
      <c r="AM108" s="243"/>
      <c r="AN108" s="243"/>
      <c r="AO108" s="243"/>
      <c r="AP108" s="243"/>
      <c r="AQ108" s="243"/>
      <c r="AR108" s="243"/>
      <c r="AS108" s="243"/>
      <c r="AT108" s="243"/>
      <c r="AU108" s="243"/>
      <c r="AV108" s="243"/>
      <c r="AW108" s="243"/>
      <c r="AX108" s="243"/>
      <c r="AY108" s="243"/>
      <c r="AZ108" s="243"/>
      <c r="BA108" s="243"/>
      <c r="BB108" s="243"/>
      <c r="BC108" s="243"/>
      <c r="BD108" s="243"/>
      <c r="BE108" s="243"/>
      <c r="BF108" s="243"/>
      <c r="BG108" s="243"/>
      <c r="BH108" s="243"/>
      <c r="BI108" s="243"/>
      <c r="BJ108" s="243"/>
      <c r="BK108" s="243"/>
      <c r="BL108" s="243"/>
      <c r="BM108" s="243"/>
      <c r="BN108" s="243"/>
      <c r="BO108" s="243"/>
      <c r="BP108" s="243"/>
      <c r="BQ108" s="243"/>
      <c r="BR108" s="243"/>
      <c r="BS108" s="243"/>
      <c r="BT108" s="243"/>
      <c r="BU108" s="243"/>
      <c r="BV108" s="243"/>
      <c r="BW108" s="243"/>
      <c r="BX108" s="243"/>
      <c r="BY108" s="243"/>
      <c r="BZ108" s="243"/>
      <c r="CA108" s="243"/>
      <c r="CB108" s="243"/>
      <c r="CC108" s="243"/>
      <c r="CD108" s="243"/>
      <c r="CE108" s="243"/>
      <c r="CF108" s="243"/>
      <c r="CG108" s="243"/>
      <c r="CH108" s="243"/>
      <c r="CI108" s="243"/>
      <c r="CJ108" s="243"/>
      <c r="CK108" s="243"/>
      <c r="CL108" s="243"/>
      <c r="CM108" s="243"/>
      <c r="CN108" s="243"/>
      <c r="CO108" s="243"/>
      <c r="CP108" s="243"/>
      <c r="CQ108" s="243"/>
      <c r="CR108" s="243"/>
      <c r="CS108" s="243"/>
      <c r="CT108" s="243"/>
      <c r="CU108" s="243"/>
      <c r="CV108" s="243"/>
      <c r="CW108" s="243"/>
      <c r="CX108" s="243"/>
      <c r="CY108" s="243"/>
      <c r="CZ108" s="243"/>
      <c r="DA108" s="243"/>
      <c r="DB108" s="243"/>
      <c r="DC108" s="243"/>
      <c r="DD108" s="243"/>
      <c r="DE108" s="243"/>
      <c r="DF108" s="243"/>
      <c r="DG108" s="243"/>
      <c r="DH108" s="243"/>
      <c r="DI108" s="243"/>
      <c r="DJ108" s="243"/>
      <c r="DK108" s="243"/>
      <c r="DL108" s="243"/>
      <c r="DM108" s="243"/>
      <c r="DN108" s="243"/>
      <c r="DO108" s="243"/>
      <c r="DP108" s="243"/>
      <c r="DQ108" s="243"/>
      <c r="DR108" s="243"/>
      <c r="DS108" s="243"/>
      <c r="DT108" s="243"/>
      <c r="DU108" s="243"/>
      <c r="DV108" s="243"/>
      <c r="DW108" s="243"/>
      <c r="DX108" s="243"/>
      <c r="DY108" s="243"/>
      <c r="DZ108" s="243"/>
      <c r="EA108" s="243"/>
      <c r="EB108" s="243"/>
      <c r="EC108" s="243"/>
      <c r="ED108" s="243"/>
      <c r="EE108" s="243"/>
      <c r="EF108" s="243"/>
      <c r="EG108" s="243"/>
      <c r="EH108" s="243"/>
      <c r="EI108" s="243"/>
      <c r="EJ108" s="243"/>
      <c r="EK108" s="243"/>
      <c r="EL108" s="243"/>
      <c r="EM108" s="243"/>
      <c r="EN108" s="243"/>
      <c r="EO108" s="243"/>
      <c r="EP108" s="243"/>
      <c r="EQ108" s="243"/>
      <c r="ER108" s="243"/>
      <c r="ES108" s="243"/>
      <c r="ET108" s="243"/>
      <c r="EU108" s="243"/>
      <c r="EV108" s="243"/>
      <c r="EW108" s="243"/>
      <c r="EX108" s="243"/>
      <c r="EY108" s="243"/>
      <c r="EZ108" s="243"/>
      <c r="FA108" s="243"/>
      <c r="FB108" s="243"/>
      <c r="FC108" s="243"/>
      <c r="FD108" s="243"/>
      <c r="FE108" s="243"/>
      <c r="FF108" s="243"/>
      <c r="FG108" s="243"/>
      <c r="FH108" s="243"/>
      <c r="FI108" s="243"/>
      <c r="FJ108" s="243"/>
      <c r="FK108" s="243"/>
      <c r="FL108" s="243"/>
      <c r="FM108" s="243"/>
      <c r="FN108" s="243"/>
      <c r="FO108" s="243"/>
      <c r="FP108" s="243"/>
      <c r="FQ108" s="243"/>
      <c r="FR108" s="243"/>
      <c r="FS108" s="243"/>
      <c r="FT108" s="243"/>
      <c r="FU108" s="243"/>
      <c r="FV108" s="243"/>
      <c r="FW108" s="243"/>
      <c r="FX108" s="243"/>
      <c r="FY108" s="243"/>
      <c r="FZ108" s="243"/>
      <c r="GA108" s="243"/>
      <c r="GB108" s="243"/>
      <c r="GC108" s="243"/>
      <c r="GD108" s="243"/>
      <c r="GE108" s="243"/>
      <c r="GF108" s="243"/>
      <c r="GG108" s="243"/>
      <c r="GH108" s="243"/>
      <c r="GI108" s="243"/>
      <c r="GJ108" s="243"/>
      <c r="GK108" s="243"/>
      <c r="GL108" s="243"/>
      <c r="GM108" s="243"/>
      <c r="GN108" s="243"/>
      <c r="GO108" s="243"/>
      <c r="GP108" s="243"/>
      <c r="GQ108" s="243"/>
      <c r="GR108" s="243"/>
      <c r="GS108" s="243"/>
      <c r="GT108" s="243"/>
      <c r="GU108" s="243"/>
      <c r="GV108" s="243"/>
      <c r="GW108" s="243"/>
      <c r="GX108" s="243"/>
      <c r="GY108" s="243"/>
      <c r="GZ108" s="243"/>
      <c r="HA108" s="243"/>
      <c r="HB108" s="243"/>
      <c r="HC108" s="243"/>
      <c r="HD108" s="243"/>
      <c r="HE108" s="243"/>
      <c r="HF108" s="243"/>
      <c r="HG108" s="243"/>
      <c r="HH108" s="243"/>
      <c r="HI108" s="243"/>
      <c r="HJ108" s="243"/>
      <c r="HK108" s="243"/>
      <c r="HL108" s="243"/>
      <c r="HM108" s="243"/>
      <c r="HN108" s="243"/>
      <c r="HO108" s="243"/>
      <c r="HP108" s="243"/>
      <c r="HQ108" s="243"/>
      <c r="HR108" s="243"/>
      <c r="HS108" s="243"/>
      <c r="HT108" s="243"/>
      <c r="HU108" s="243"/>
      <c r="HV108" s="243"/>
      <c r="HW108" s="243"/>
      <c r="HX108" s="243"/>
      <c r="HY108" s="243"/>
      <c r="HZ108" s="243"/>
      <c r="IA108" s="243"/>
    </row>
    <row r="109" spans="1:235" s="244" customFormat="1" ht="14.25" customHeight="1" x14ac:dyDescent="0.25">
      <c r="A109" s="241">
        <v>2</v>
      </c>
      <c r="B109" s="242" t="s">
        <v>108</v>
      </c>
      <c r="C109" s="363" t="s">
        <v>623</v>
      </c>
      <c r="D109" s="364" t="s">
        <v>124</v>
      </c>
      <c r="E109" s="365">
        <f>E108</f>
        <v>55.5</v>
      </c>
      <c r="F109" s="63"/>
      <c r="G109" s="64"/>
      <c r="H109" s="65"/>
      <c r="I109" s="64"/>
      <c r="J109" s="64"/>
      <c r="K109" s="66"/>
      <c r="L109" s="67"/>
      <c r="M109" s="64"/>
      <c r="N109" s="64"/>
      <c r="O109" s="64"/>
      <c r="P109" s="68"/>
      <c r="Q109" s="69"/>
      <c r="R109" s="137"/>
      <c r="S109" s="69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43"/>
      <c r="AH109" s="243"/>
      <c r="AI109" s="243"/>
      <c r="AJ109" s="243"/>
      <c r="AK109" s="243"/>
      <c r="AL109" s="243"/>
      <c r="AM109" s="243"/>
      <c r="AN109" s="243"/>
      <c r="AO109" s="243"/>
      <c r="AP109" s="243"/>
      <c r="AQ109" s="243"/>
      <c r="AR109" s="243"/>
      <c r="AS109" s="243"/>
      <c r="AT109" s="243"/>
      <c r="AU109" s="243"/>
      <c r="AV109" s="243"/>
      <c r="AW109" s="243"/>
      <c r="AX109" s="243"/>
      <c r="AY109" s="243"/>
      <c r="AZ109" s="243"/>
      <c r="BA109" s="243"/>
      <c r="BB109" s="243"/>
      <c r="BC109" s="243"/>
      <c r="BD109" s="243"/>
      <c r="BE109" s="243"/>
      <c r="BF109" s="243"/>
      <c r="BG109" s="243"/>
      <c r="BH109" s="243"/>
      <c r="BI109" s="243"/>
      <c r="BJ109" s="243"/>
      <c r="BK109" s="243"/>
      <c r="BL109" s="243"/>
      <c r="BM109" s="243"/>
      <c r="BN109" s="243"/>
      <c r="BO109" s="243"/>
      <c r="BP109" s="243"/>
      <c r="BQ109" s="243"/>
      <c r="BR109" s="243"/>
      <c r="BS109" s="243"/>
      <c r="BT109" s="243"/>
      <c r="BU109" s="243"/>
      <c r="BV109" s="243"/>
      <c r="BW109" s="243"/>
      <c r="BX109" s="243"/>
      <c r="BY109" s="243"/>
      <c r="BZ109" s="243"/>
      <c r="CA109" s="243"/>
      <c r="CB109" s="243"/>
      <c r="CC109" s="243"/>
      <c r="CD109" s="243"/>
      <c r="CE109" s="243"/>
      <c r="CF109" s="243"/>
      <c r="CG109" s="243"/>
      <c r="CH109" s="243"/>
      <c r="CI109" s="243"/>
      <c r="CJ109" s="243"/>
      <c r="CK109" s="243"/>
      <c r="CL109" s="243"/>
      <c r="CM109" s="243"/>
      <c r="CN109" s="243"/>
      <c r="CO109" s="243"/>
      <c r="CP109" s="243"/>
      <c r="CQ109" s="243"/>
      <c r="CR109" s="243"/>
      <c r="CS109" s="243"/>
      <c r="CT109" s="243"/>
      <c r="CU109" s="243"/>
      <c r="CV109" s="243"/>
      <c r="CW109" s="243"/>
      <c r="CX109" s="243"/>
      <c r="CY109" s="243"/>
      <c r="CZ109" s="243"/>
      <c r="DA109" s="243"/>
      <c r="DB109" s="243"/>
      <c r="DC109" s="243"/>
      <c r="DD109" s="243"/>
      <c r="DE109" s="243"/>
      <c r="DF109" s="243"/>
      <c r="DG109" s="243"/>
      <c r="DH109" s="243"/>
      <c r="DI109" s="243"/>
      <c r="DJ109" s="243"/>
      <c r="DK109" s="243"/>
      <c r="DL109" s="243"/>
      <c r="DM109" s="243"/>
      <c r="DN109" s="243"/>
      <c r="DO109" s="243"/>
      <c r="DP109" s="243"/>
      <c r="DQ109" s="243"/>
      <c r="DR109" s="243"/>
      <c r="DS109" s="243"/>
      <c r="DT109" s="243"/>
      <c r="DU109" s="243"/>
      <c r="DV109" s="243"/>
      <c r="DW109" s="243"/>
      <c r="DX109" s="243"/>
      <c r="DY109" s="243"/>
      <c r="DZ109" s="243"/>
      <c r="EA109" s="243"/>
      <c r="EB109" s="243"/>
      <c r="EC109" s="243"/>
      <c r="ED109" s="243"/>
      <c r="EE109" s="243"/>
      <c r="EF109" s="243"/>
      <c r="EG109" s="243"/>
      <c r="EH109" s="243"/>
      <c r="EI109" s="243"/>
      <c r="EJ109" s="243"/>
      <c r="EK109" s="243"/>
      <c r="EL109" s="243"/>
      <c r="EM109" s="243"/>
      <c r="EN109" s="243"/>
      <c r="EO109" s="243"/>
      <c r="EP109" s="243"/>
      <c r="EQ109" s="243"/>
      <c r="ER109" s="243"/>
      <c r="ES109" s="243"/>
      <c r="ET109" s="243"/>
      <c r="EU109" s="243"/>
      <c r="EV109" s="243"/>
      <c r="EW109" s="243"/>
      <c r="EX109" s="243"/>
      <c r="EY109" s="243"/>
      <c r="EZ109" s="243"/>
      <c r="FA109" s="243"/>
      <c r="FB109" s="243"/>
      <c r="FC109" s="243"/>
      <c r="FD109" s="243"/>
      <c r="FE109" s="243"/>
      <c r="FF109" s="243"/>
      <c r="FG109" s="243"/>
      <c r="FH109" s="243"/>
      <c r="FI109" s="243"/>
      <c r="FJ109" s="243"/>
      <c r="FK109" s="243"/>
      <c r="FL109" s="243"/>
      <c r="FM109" s="243"/>
      <c r="FN109" s="243"/>
      <c r="FO109" s="243"/>
      <c r="FP109" s="243"/>
      <c r="FQ109" s="243"/>
      <c r="FR109" s="243"/>
      <c r="FS109" s="243"/>
      <c r="FT109" s="243"/>
      <c r="FU109" s="243"/>
      <c r="FV109" s="243"/>
      <c r="FW109" s="243"/>
      <c r="FX109" s="243"/>
      <c r="FY109" s="243"/>
      <c r="FZ109" s="243"/>
      <c r="GA109" s="243"/>
      <c r="GB109" s="243"/>
      <c r="GC109" s="243"/>
      <c r="GD109" s="243"/>
      <c r="GE109" s="243"/>
      <c r="GF109" s="243"/>
      <c r="GG109" s="243"/>
      <c r="GH109" s="243"/>
      <c r="GI109" s="243"/>
      <c r="GJ109" s="243"/>
      <c r="GK109" s="243"/>
      <c r="GL109" s="243"/>
      <c r="GM109" s="243"/>
      <c r="GN109" s="243"/>
      <c r="GO109" s="243"/>
      <c r="GP109" s="243"/>
      <c r="GQ109" s="243"/>
      <c r="GR109" s="243"/>
      <c r="GS109" s="243"/>
      <c r="GT109" s="243"/>
      <c r="GU109" s="243"/>
      <c r="GV109" s="243"/>
      <c r="GW109" s="243"/>
      <c r="GX109" s="243"/>
      <c r="GY109" s="243"/>
      <c r="GZ109" s="243"/>
      <c r="HA109" s="243"/>
      <c r="HB109" s="243"/>
      <c r="HC109" s="243"/>
      <c r="HD109" s="243"/>
      <c r="HE109" s="243"/>
      <c r="HF109" s="243"/>
      <c r="HG109" s="243"/>
      <c r="HH109" s="243"/>
      <c r="HI109" s="243"/>
      <c r="HJ109" s="243"/>
      <c r="HK109" s="243"/>
      <c r="HL109" s="243"/>
      <c r="HM109" s="243"/>
      <c r="HN109" s="243"/>
      <c r="HO109" s="243"/>
      <c r="HP109" s="243"/>
      <c r="HQ109" s="243"/>
      <c r="HR109" s="243"/>
      <c r="HS109" s="243"/>
      <c r="HT109" s="243"/>
      <c r="HU109" s="243"/>
      <c r="HV109" s="243"/>
      <c r="HW109" s="243"/>
      <c r="HX109" s="243"/>
      <c r="HY109" s="243"/>
      <c r="HZ109" s="243"/>
      <c r="IA109" s="243"/>
    </row>
    <row r="110" spans="1:235" s="244" customFormat="1" ht="14.25" customHeight="1" x14ac:dyDescent="0.25">
      <c r="A110" s="241">
        <v>3</v>
      </c>
      <c r="B110" s="242"/>
      <c r="C110" s="366" t="s">
        <v>315</v>
      </c>
      <c r="D110" s="364" t="s">
        <v>124</v>
      </c>
      <c r="E110" s="365">
        <f>E109*1.15</f>
        <v>63.824999999999996</v>
      </c>
      <c r="F110" s="63"/>
      <c r="G110" s="64"/>
      <c r="H110" s="65"/>
      <c r="I110" s="64"/>
      <c r="J110" s="64"/>
      <c r="K110" s="66"/>
      <c r="L110" s="67"/>
      <c r="M110" s="64"/>
      <c r="N110" s="64"/>
      <c r="O110" s="64"/>
      <c r="P110" s="68"/>
      <c r="Q110" s="69"/>
      <c r="R110" s="137"/>
      <c r="S110" s="69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43"/>
      <c r="AH110" s="243"/>
      <c r="AI110" s="243"/>
      <c r="AJ110" s="243"/>
      <c r="AK110" s="243"/>
      <c r="AL110" s="243"/>
      <c r="AM110" s="243"/>
      <c r="AN110" s="243"/>
      <c r="AO110" s="243"/>
      <c r="AP110" s="243"/>
      <c r="AQ110" s="243"/>
      <c r="AR110" s="243"/>
      <c r="AS110" s="243"/>
      <c r="AT110" s="243"/>
      <c r="AU110" s="243"/>
      <c r="AV110" s="243"/>
      <c r="AW110" s="243"/>
      <c r="AX110" s="243"/>
      <c r="AY110" s="243"/>
      <c r="AZ110" s="243"/>
      <c r="BA110" s="243"/>
      <c r="BB110" s="243"/>
      <c r="BC110" s="243"/>
      <c r="BD110" s="243"/>
      <c r="BE110" s="243"/>
      <c r="BF110" s="243"/>
      <c r="BG110" s="243"/>
      <c r="BH110" s="243"/>
      <c r="BI110" s="243"/>
      <c r="BJ110" s="243"/>
      <c r="BK110" s="243"/>
      <c r="BL110" s="243"/>
      <c r="BM110" s="243"/>
      <c r="BN110" s="243"/>
      <c r="BO110" s="243"/>
      <c r="BP110" s="243"/>
      <c r="BQ110" s="243"/>
      <c r="BR110" s="243"/>
      <c r="BS110" s="243"/>
      <c r="BT110" s="243"/>
      <c r="BU110" s="243"/>
      <c r="BV110" s="243"/>
      <c r="BW110" s="243"/>
      <c r="BX110" s="243"/>
      <c r="BY110" s="243"/>
      <c r="BZ110" s="243"/>
      <c r="CA110" s="243"/>
      <c r="CB110" s="243"/>
      <c r="CC110" s="243"/>
      <c r="CD110" s="243"/>
      <c r="CE110" s="243"/>
      <c r="CF110" s="243"/>
      <c r="CG110" s="243"/>
      <c r="CH110" s="243"/>
      <c r="CI110" s="243"/>
      <c r="CJ110" s="243"/>
      <c r="CK110" s="243"/>
      <c r="CL110" s="243"/>
      <c r="CM110" s="243"/>
      <c r="CN110" s="243"/>
      <c r="CO110" s="243"/>
      <c r="CP110" s="243"/>
      <c r="CQ110" s="243"/>
      <c r="CR110" s="243"/>
      <c r="CS110" s="243"/>
      <c r="CT110" s="243"/>
      <c r="CU110" s="243"/>
      <c r="CV110" s="243"/>
      <c r="CW110" s="243"/>
      <c r="CX110" s="243"/>
      <c r="CY110" s="243"/>
      <c r="CZ110" s="243"/>
      <c r="DA110" s="243"/>
      <c r="DB110" s="243"/>
      <c r="DC110" s="243"/>
      <c r="DD110" s="243"/>
      <c r="DE110" s="243"/>
      <c r="DF110" s="243"/>
      <c r="DG110" s="243"/>
      <c r="DH110" s="243"/>
      <c r="DI110" s="243"/>
      <c r="DJ110" s="243"/>
      <c r="DK110" s="243"/>
      <c r="DL110" s="243"/>
      <c r="DM110" s="243"/>
      <c r="DN110" s="243"/>
      <c r="DO110" s="243"/>
      <c r="DP110" s="243"/>
      <c r="DQ110" s="243"/>
      <c r="DR110" s="243"/>
      <c r="DS110" s="243"/>
      <c r="DT110" s="243"/>
      <c r="DU110" s="243"/>
      <c r="DV110" s="243"/>
      <c r="DW110" s="243"/>
      <c r="DX110" s="243"/>
      <c r="DY110" s="243"/>
      <c r="DZ110" s="243"/>
      <c r="EA110" s="243"/>
      <c r="EB110" s="243"/>
      <c r="EC110" s="243"/>
      <c r="ED110" s="243"/>
      <c r="EE110" s="243"/>
      <c r="EF110" s="243"/>
      <c r="EG110" s="243"/>
      <c r="EH110" s="243"/>
      <c r="EI110" s="243"/>
      <c r="EJ110" s="243"/>
      <c r="EK110" s="243"/>
      <c r="EL110" s="243"/>
      <c r="EM110" s="243"/>
      <c r="EN110" s="243"/>
      <c r="EO110" s="243"/>
      <c r="EP110" s="243"/>
      <c r="EQ110" s="243"/>
      <c r="ER110" s="243"/>
      <c r="ES110" s="243"/>
      <c r="ET110" s="243"/>
      <c r="EU110" s="243"/>
      <c r="EV110" s="243"/>
      <c r="EW110" s="243"/>
      <c r="EX110" s="243"/>
      <c r="EY110" s="243"/>
      <c r="EZ110" s="243"/>
      <c r="FA110" s="243"/>
      <c r="FB110" s="243"/>
      <c r="FC110" s="243"/>
      <c r="FD110" s="243"/>
      <c r="FE110" s="243"/>
      <c r="FF110" s="243"/>
      <c r="FG110" s="243"/>
      <c r="FH110" s="243"/>
      <c r="FI110" s="243"/>
      <c r="FJ110" s="243"/>
      <c r="FK110" s="243"/>
      <c r="FL110" s="243"/>
      <c r="FM110" s="243"/>
      <c r="FN110" s="243"/>
      <c r="FO110" s="243"/>
      <c r="FP110" s="243"/>
      <c r="FQ110" s="243"/>
      <c r="FR110" s="243"/>
      <c r="FS110" s="243"/>
      <c r="FT110" s="243"/>
      <c r="FU110" s="243"/>
      <c r="FV110" s="243"/>
      <c r="FW110" s="243"/>
      <c r="FX110" s="243"/>
      <c r="FY110" s="243"/>
      <c r="FZ110" s="243"/>
      <c r="GA110" s="243"/>
      <c r="GB110" s="243"/>
      <c r="GC110" s="243"/>
      <c r="GD110" s="243"/>
      <c r="GE110" s="243"/>
      <c r="GF110" s="243"/>
      <c r="GG110" s="243"/>
      <c r="GH110" s="243"/>
      <c r="GI110" s="243"/>
      <c r="GJ110" s="243"/>
      <c r="GK110" s="243"/>
      <c r="GL110" s="243"/>
      <c r="GM110" s="243"/>
      <c r="GN110" s="243"/>
      <c r="GO110" s="243"/>
      <c r="GP110" s="243"/>
      <c r="GQ110" s="243"/>
      <c r="GR110" s="243"/>
      <c r="GS110" s="243"/>
      <c r="GT110" s="243"/>
      <c r="GU110" s="243"/>
      <c r="GV110" s="243"/>
      <c r="GW110" s="243"/>
      <c r="GX110" s="243"/>
      <c r="GY110" s="243"/>
      <c r="GZ110" s="243"/>
      <c r="HA110" s="243"/>
      <c r="HB110" s="243"/>
      <c r="HC110" s="243"/>
      <c r="HD110" s="243"/>
      <c r="HE110" s="243"/>
      <c r="HF110" s="243"/>
      <c r="HG110" s="243"/>
      <c r="HH110" s="243"/>
      <c r="HI110" s="243"/>
      <c r="HJ110" s="243"/>
      <c r="HK110" s="243"/>
      <c r="HL110" s="243"/>
      <c r="HM110" s="243"/>
      <c r="HN110" s="243"/>
      <c r="HO110" s="243"/>
      <c r="HP110" s="243"/>
      <c r="HQ110" s="243"/>
      <c r="HR110" s="243"/>
      <c r="HS110" s="243"/>
      <c r="HT110" s="243"/>
      <c r="HU110" s="243"/>
      <c r="HV110" s="243"/>
      <c r="HW110" s="243"/>
      <c r="HX110" s="243"/>
      <c r="HY110" s="243"/>
      <c r="HZ110" s="243"/>
      <c r="IA110" s="243"/>
    </row>
    <row r="111" spans="1:235" s="244" customFormat="1" ht="14.25" customHeight="1" x14ac:dyDescent="0.25">
      <c r="A111" s="241">
        <v>4</v>
      </c>
      <c r="B111" s="242"/>
      <c r="C111" s="366" t="s">
        <v>191</v>
      </c>
      <c r="D111" s="364" t="s">
        <v>180</v>
      </c>
      <c r="E111" s="365">
        <f>E109*5*1.1</f>
        <v>305.25</v>
      </c>
      <c r="F111" s="63"/>
      <c r="G111" s="64"/>
      <c r="H111" s="65"/>
      <c r="I111" s="64"/>
      <c r="J111" s="64"/>
      <c r="K111" s="66"/>
      <c r="L111" s="67"/>
      <c r="M111" s="64"/>
      <c r="N111" s="64"/>
      <c r="O111" s="64"/>
      <c r="P111" s="68"/>
      <c r="Q111" s="69"/>
      <c r="R111" s="137"/>
      <c r="S111" s="69"/>
      <c r="T111" s="243"/>
      <c r="U111" s="243"/>
      <c r="V111" s="243"/>
      <c r="W111" s="243"/>
      <c r="X111" s="243"/>
      <c r="Y111" s="243"/>
      <c r="Z111" s="243"/>
      <c r="AA111" s="243"/>
      <c r="AB111" s="243"/>
      <c r="AC111" s="243"/>
      <c r="AD111" s="243"/>
      <c r="AE111" s="243"/>
      <c r="AF111" s="243"/>
      <c r="AG111" s="243"/>
      <c r="AH111" s="243"/>
      <c r="AI111" s="243"/>
      <c r="AJ111" s="243"/>
      <c r="AK111" s="243"/>
      <c r="AL111" s="243"/>
      <c r="AM111" s="243"/>
      <c r="AN111" s="243"/>
      <c r="AO111" s="243"/>
      <c r="AP111" s="243"/>
      <c r="AQ111" s="243"/>
      <c r="AR111" s="243"/>
      <c r="AS111" s="243"/>
      <c r="AT111" s="243"/>
      <c r="AU111" s="243"/>
      <c r="AV111" s="243"/>
      <c r="AW111" s="243"/>
      <c r="AX111" s="243"/>
      <c r="AY111" s="243"/>
      <c r="AZ111" s="243"/>
      <c r="BA111" s="243"/>
      <c r="BB111" s="243"/>
      <c r="BC111" s="243"/>
      <c r="BD111" s="243"/>
      <c r="BE111" s="243"/>
      <c r="BF111" s="243"/>
      <c r="BG111" s="243"/>
      <c r="BH111" s="243"/>
      <c r="BI111" s="243"/>
      <c r="BJ111" s="243"/>
      <c r="BK111" s="243"/>
      <c r="BL111" s="243"/>
      <c r="BM111" s="243"/>
      <c r="BN111" s="243"/>
      <c r="BO111" s="243"/>
      <c r="BP111" s="243"/>
      <c r="BQ111" s="243"/>
      <c r="BR111" s="243"/>
      <c r="BS111" s="243"/>
      <c r="BT111" s="243"/>
      <c r="BU111" s="243"/>
      <c r="BV111" s="243"/>
      <c r="BW111" s="243"/>
      <c r="BX111" s="243"/>
      <c r="BY111" s="243"/>
      <c r="BZ111" s="243"/>
      <c r="CA111" s="243"/>
      <c r="CB111" s="243"/>
      <c r="CC111" s="243"/>
      <c r="CD111" s="243"/>
      <c r="CE111" s="243"/>
      <c r="CF111" s="243"/>
      <c r="CG111" s="243"/>
      <c r="CH111" s="243"/>
      <c r="CI111" s="243"/>
      <c r="CJ111" s="243"/>
      <c r="CK111" s="243"/>
      <c r="CL111" s="243"/>
      <c r="CM111" s="243"/>
      <c r="CN111" s="243"/>
      <c r="CO111" s="243"/>
      <c r="CP111" s="243"/>
      <c r="CQ111" s="243"/>
      <c r="CR111" s="243"/>
      <c r="CS111" s="243"/>
      <c r="CT111" s="243"/>
      <c r="CU111" s="243"/>
      <c r="CV111" s="243"/>
      <c r="CW111" s="243"/>
      <c r="CX111" s="243"/>
      <c r="CY111" s="243"/>
      <c r="CZ111" s="243"/>
      <c r="DA111" s="243"/>
      <c r="DB111" s="243"/>
      <c r="DC111" s="243"/>
      <c r="DD111" s="243"/>
      <c r="DE111" s="243"/>
      <c r="DF111" s="243"/>
      <c r="DG111" s="243"/>
      <c r="DH111" s="243"/>
      <c r="DI111" s="243"/>
      <c r="DJ111" s="243"/>
      <c r="DK111" s="243"/>
      <c r="DL111" s="243"/>
      <c r="DM111" s="243"/>
      <c r="DN111" s="243"/>
      <c r="DO111" s="243"/>
      <c r="DP111" s="243"/>
      <c r="DQ111" s="243"/>
      <c r="DR111" s="243"/>
      <c r="DS111" s="243"/>
      <c r="DT111" s="243"/>
      <c r="DU111" s="243"/>
      <c r="DV111" s="243"/>
      <c r="DW111" s="243"/>
      <c r="DX111" s="243"/>
      <c r="DY111" s="243"/>
      <c r="DZ111" s="243"/>
      <c r="EA111" s="243"/>
      <c r="EB111" s="243"/>
      <c r="EC111" s="243"/>
      <c r="ED111" s="243"/>
      <c r="EE111" s="243"/>
      <c r="EF111" s="243"/>
      <c r="EG111" s="243"/>
      <c r="EH111" s="243"/>
      <c r="EI111" s="243"/>
      <c r="EJ111" s="243"/>
      <c r="EK111" s="243"/>
      <c r="EL111" s="243"/>
      <c r="EM111" s="243"/>
      <c r="EN111" s="243"/>
      <c r="EO111" s="243"/>
      <c r="EP111" s="243"/>
      <c r="EQ111" s="243"/>
      <c r="ER111" s="243"/>
      <c r="ES111" s="243"/>
      <c r="ET111" s="243"/>
      <c r="EU111" s="243"/>
      <c r="EV111" s="243"/>
      <c r="EW111" s="243"/>
      <c r="EX111" s="243"/>
      <c r="EY111" s="243"/>
      <c r="EZ111" s="243"/>
      <c r="FA111" s="243"/>
      <c r="FB111" s="243"/>
      <c r="FC111" s="243"/>
      <c r="FD111" s="243"/>
      <c r="FE111" s="243"/>
      <c r="FF111" s="243"/>
      <c r="FG111" s="243"/>
      <c r="FH111" s="243"/>
      <c r="FI111" s="243"/>
      <c r="FJ111" s="243"/>
      <c r="FK111" s="243"/>
      <c r="FL111" s="243"/>
      <c r="FM111" s="243"/>
      <c r="FN111" s="243"/>
      <c r="FO111" s="243"/>
      <c r="FP111" s="243"/>
      <c r="FQ111" s="243"/>
      <c r="FR111" s="243"/>
      <c r="FS111" s="243"/>
      <c r="FT111" s="243"/>
      <c r="FU111" s="243"/>
      <c r="FV111" s="243"/>
      <c r="FW111" s="243"/>
      <c r="FX111" s="243"/>
      <c r="FY111" s="243"/>
      <c r="FZ111" s="243"/>
      <c r="GA111" s="243"/>
      <c r="GB111" s="243"/>
      <c r="GC111" s="243"/>
      <c r="GD111" s="243"/>
      <c r="GE111" s="243"/>
      <c r="GF111" s="243"/>
      <c r="GG111" s="243"/>
      <c r="GH111" s="243"/>
      <c r="GI111" s="243"/>
      <c r="GJ111" s="243"/>
      <c r="GK111" s="243"/>
      <c r="GL111" s="243"/>
      <c r="GM111" s="243"/>
      <c r="GN111" s="243"/>
      <c r="GO111" s="243"/>
      <c r="GP111" s="243"/>
      <c r="GQ111" s="243"/>
      <c r="GR111" s="243"/>
      <c r="GS111" s="243"/>
      <c r="GT111" s="243"/>
      <c r="GU111" s="243"/>
      <c r="GV111" s="243"/>
      <c r="GW111" s="243"/>
      <c r="GX111" s="243"/>
      <c r="GY111" s="243"/>
      <c r="GZ111" s="243"/>
      <c r="HA111" s="243"/>
      <c r="HB111" s="243"/>
      <c r="HC111" s="243"/>
      <c r="HD111" s="243"/>
      <c r="HE111" s="243"/>
      <c r="HF111" s="243"/>
      <c r="HG111" s="243"/>
      <c r="HH111" s="243"/>
      <c r="HI111" s="243"/>
      <c r="HJ111" s="243"/>
      <c r="HK111" s="243"/>
      <c r="HL111" s="243"/>
      <c r="HM111" s="243"/>
      <c r="HN111" s="243"/>
      <c r="HO111" s="243"/>
      <c r="HP111" s="243"/>
      <c r="HQ111" s="243"/>
      <c r="HR111" s="243"/>
      <c r="HS111" s="243"/>
      <c r="HT111" s="243"/>
      <c r="HU111" s="243"/>
      <c r="HV111" s="243"/>
      <c r="HW111" s="243"/>
      <c r="HX111" s="243"/>
      <c r="HY111" s="243"/>
      <c r="HZ111" s="243"/>
      <c r="IA111" s="243"/>
    </row>
    <row r="112" spans="1:235" s="244" customFormat="1" ht="14.25" customHeight="1" x14ac:dyDescent="0.25">
      <c r="A112" s="241">
        <v>5</v>
      </c>
      <c r="B112" s="242"/>
      <c r="C112" s="366" t="s">
        <v>194</v>
      </c>
      <c r="D112" s="364" t="s">
        <v>124</v>
      </c>
      <c r="E112" s="365">
        <f>E109</f>
        <v>55.5</v>
      </c>
      <c r="F112" s="63"/>
      <c r="G112" s="64"/>
      <c r="H112" s="65"/>
      <c r="I112" s="64"/>
      <c r="J112" s="64"/>
      <c r="K112" s="66"/>
      <c r="L112" s="67"/>
      <c r="M112" s="64"/>
      <c r="N112" s="64"/>
      <c r="O112" s="64"/>
      <c r="P112" s="68"/>
      <c r="Q112" s="69"/>
      <c r="R112" s="137"/>
      <c r="S112" s="69"/>
      <c r="T112" s="243"/>
      <c r="U112" s="243"/>
      <c r="V112" s="243"/>
      <c r="W112" s="243"/>
      <c r="X112" s="243"/>
      <c r="Y112" s="243"/>
      <c r="Z112" s="243"/>
      <c r="AA112" s="243"/>
      <c r="AB112" s="243"/>
      <c r="AC112" s="243"/>
      <c r="AD112" s="243"/>
      <c r="AE112" s="243"/>
      <c r="AF112" s="243"/>
      <c r="AG112" s="243"/>
      <c r="AH112" s="243"/>
      <c r="AI112" s="243"/>
      <c r="AJ112" s="243"/>
      <c r="AK112" s="243"/>
      <c r="AL112" s="243"/>
      <c r="AM112" s="243"/>
      <c r="AN112" s="243"/>
      <c r="AO112" s="243"/>
      <c r="AP112" s="243"/>
      <c r="AQ112" s="243"/>
      <c r="AR112" s="243"/>
      <c r="AS112" s="243"/>
      <c r="AT112" s="243"/>
      <c r="AU112" s="243"/>
      <c r="AV112" s="243"/>
      <c r="AW112" s="243"/>
      <c r="AX112" s="243"/>
      <c r="AY112" s="243"/>
      <c r="AZ112" s="243"/>
      <c r="BA112" s="243"/>
      <c r="BB112" s="243"/>
      <c r="BC112" s="243"/>
      <c r="BD112" s="243"/>
      <c r="BE112" s="243"/>
      <c r="BF112" s="243"/>
      <c r="BG112" s="243"/>
      <c r="BH112" s="243"/>
      <c r="BI112" s="243"/>
      <c r="BJ112" s="243"/>
      <c r="BK112" s="243"/>
      <c r="BL112" s="243"/>
      <c r="BM112" s="243"/>
      <c r="BN112" s="243"/>
      <c r="BO112" s="243"/>
      <c r="BP112" s="243"/>
      <c r="BQ112" s="243"/>
      <c r="BR112" s="243"/>
      <c r="BS112" s="243"/>
      <c r="BT112" s="243"/>
      <c r="BU112" s="243"/>
      <c r="BV112" s="243"/>
      <c r="BW112" s="243"/>
      <c r="BX112" s="243"/>
      <c r="BY112" s="243"/>
      <c r="BZ112" s="243"/>
      <c r="CA112" s="243"/>
      <c r="CB112" s="243"/>
      <c r="CC112" s="243"/>
      <c r="CD112" s="243"/>
      <c r="CE112" s="243"/>
      <c r="CF112" s="243"/>
      <c r="CG112" s="243"/>
      <c r="CH112" s="243"/>
      <c r="CI112" s="243"/>
      <c r="CJ112" s="243"/>
      <c r="CK112" s="243"/>
      <c r="CL112" s="243"/>
      <c r="CM112" s="243"/>
      <c r="CN112" s="243"/>
      <c r="CO112" s="243"/>
      <c r="CP112" s="243"/>
      <c r="CQ112" s="243"/>
      <c r="CR112" s="243"/>
      <c r="CS112" s="243"/>
      <c r="CT112" s="243"/>
      <c r="CU112" s="243"/>
      <c r="CV112" s="243"/>
      <c r="CW112" s="243"/>
      <c r="CX112" s="243"/>
      <c r="CY112" s="243"/>
      <c r="CZ112" s="243"/>
      <c r="DA112" s="243"/>
      <c r="DB112" s="243"/>
      <c r="DC112" s="243"/>
      <c r="DD112" s="243"/>
      <c r="DE112" s="243"/>
      <c r="DF112" s="243"/>
      <c r="DG112" s="243"/>
      <c r="DH112" s="243"/>
      <c r="DI112" s="243"/>
      <c r="DJ112" s="243"/>
      <c r="DK112" s="243"/>
      <c r="DL112" s="243"/>
      <c r="DM112" s="243"/>
      <c r="DN112" s="243"/>
      <c r="DO112" s="243"/>
      <c r="DP112" s="243"/>
      <c r="DQ112" s="243"/>
      <c r="DR112" s="243"/>
      <c r="DS112" s="243"/>
      <c r="DT112" s="243"/>
      <c r="DU112" s="243"/>
      <c r="DV112" s="243"/>
      <c r="DW112" s="243"/>
      <c r="DX112" s="243"/>
      <c r="DY112" s="243"/>
      <c r="DZ112" s="243"/>
      <c r="EA112" s="243"/>
      <c r="EB112" s="243"/>
      <c r="EC112" s="243"/>
      <c r="ED112" s="243"/>
      <c r="EE112" s="243"/>
      <c r="EF112" s="243"/>
      <c r="EG112" s="243"/>
      <c r="EH112" s="243"/>
      <c r="EI112" s="243"/>
      <c r="EJ112" s="243"/>
      <c r="EK112" s="243"/>
      <c r="EL112" s="243"/>
      <c r="EM112" s="243"/>
      <c r="EN112" s="243"/>
      <c r="EO112" s="243"/>
      <c r="EP112" s="243"/>
      <c r="EQ112" s="243"/>
      <c r="ER112" s="243"/>
      <c r="ES112" s="243"/>
      <c r="ET112" s="243"/>
      <c r="EU112" s="243"/>
      <c r="EV112" s="243"/>
      <c r="EW112" s="243"/>
      <c r="EX112" s="243"/>
      <c r="EY112" s="243"/>
      <c r="EZ112" s="243"/>
      <c r="FA112" s="243"/>
      <c r="FB112" s="243"/>
      <c r="FC112" s="243"/>
      <c r="FD112" s="243"/>
      <c r="FE112" s="243"/>
      <c r="FF112" s="243"/>
      <c r="FG112" s="243"/>
      <c r="FH112" s="243"/>
      <c r="FI112" s="243"/>
      <c r="FJ112" s="243"/>
      <c r="FK112" s="243"/>
      <c r="FL112" s="243"/>
      <c r="FM112" s="243"/>
      <c r="FN112" s="243"/>
      <c r="FO112" s="243"/>
      <c r="FP112" s="243"/>
      <c r="FQ112" s="243"/>
      <c r="FR112" s="243"/>
      <c r="FS112" s="243"/>
      <c r="FT112" s="243"/>
      <c r="FU112" s="243"/>
      <c r="FV112" s="243"/>
      <c r="FW112" s="243"/>
      <c r="FX112" s="243"/>
      <c r="FY112" s="243"/>
      <c r="FZ112" s="243"/>
      <c r="GA112" s="243"/>
      <c r="GB112" s="243"/>
      <c r="GC112" s="243"/>
      <c r="GD112" s="243"/>
      <c r="GE112" s="243"/>
      <c r="GF112" s="243"/>
      <c r="GG112" s="243"/>
      <c r="GH112" s="243"/>
      <c r="GI112" s="243"/>
      <c r="GJ112" s="243"/>
      <c r="GK112" s="243"/>
      <c r="GL112" s="243"/>
      <c r="GM112" s="243"/>
      <c r="GN112" s="243"/>
      <c r="GO112" s="243"/>
      <c r="GP112" s="243"/>
      <c r="GQ112" s="243"/>
      <c r="GR112" s="243"/>
      <c r="GS112" s="243"/>
      <c r="GT112" s="243"/>
      <c r="GU112" s="243"/>
      <c r="GV112" s="243"/>
      <c r="GW112" s="243"/>
      <c r="GX112" s="243"/>
      <c r="GY112" s="243"/>
      <c r="GZ112" s="243"/>
      <c r="HA112" s="243"/>
      <c r="HB112" s="243"/>
      <c r="HC112" s="243"/>
      <c r="HD112" s="243"/>
      <c r="HE112" s="243"/>
      <c r="HF112" s="243"/>
      <c r="HG112" s="243"/>
      <c r="HH112" s="243"/>
      <c r="HI112" s="243"/>
      <c r="HJ112" s="243"/>
      <c r="HK112" s="243"/>
      <c r="HL112" s="243"/>
      <c r="HM112" s="243"/>
      <c r="HN112" s="243"/>
      <c r="HO112" s="243"/>
      <c r="HP112" s="243"/>
      <c r="HQ112" s="243"/>
      <c r="HR112" s="243"/>
      <c r="HS112" s="243"/>
      <c r="HT112" s="243"/>
      <c r="HU112" s="243"/>
      <c r="HV112" s="243"/>
      <c r="HW112" s="243"/>
      <c r="HX112" s="243"/>
      <c r="HY112" s="243"/>
      <c r="HZ112" s="243"/>
      <c r="IA112" s="243"/>
    </row>
    <row r="113" spans="1:235" s="244" customFormat="1" ht="29.1" customHeight="1" x14ac:dyDescent="0.25">
      <c r="A113" s="246"/>
      <c r="B113" s="247"/>
      <c r="C113" s="335" t="s">
        <v>624</v>
      </c>
      <c r="D113" s="361"/>
      <c r="E113" s="362"/>
      <c r="F113" s="248"/>
      <c r="G113" s="103"/>
      <c r="H113" s="249"/>
      <c r="I113" s="103"/>
      <c r="J113" s="103"/>
      <c r="K113" s="142"/>
      <c r="L113" s="143"/>
      <c r="M113" s="103"/>
      <c r="N113" s="103"/>
      <c r="O113" s="103"/>
      <c r="P113" s="144"/>
      <c r="Q113" s="69"/>
      <c r="R113" s="137"/>
      <c r="S113" s="69"/>
      <c r="T113" s="243"/>
      <c r="U113" s="243"/>
      <c r="V113" s="243"/>
      <c r="W113" s="243"/>
      <c r="X113" s="243"/>
      <c r="Y113" s="243"/>
      <c r="Z113" s="243"/>
      <c r="AA113" s="243"/>
      <c r="AB113" s="243"/>
      <c r="AC113" s="243"/>
      <c r="AD113" s="243"/>
      <c r="AE113" s="243"/>
      <c r="AF113" s="243"/>
      <c r="AG113" s="243"/>
      <c r="AH113" s="243"/>
      <c r="AI113" s="243"/>
      <c r="AJ113" s="243"/>
      <c r="AK113" s="243"/>
      <c r="AL113" s="243"/>
      <c r="AM113" s="243"/>
      <c r="AN113" s="243"/>
      <c r="AO113" s="243"/>
      <c r="AP113" s="243"/>
      <c r="AQ113" s="243"/>
      <c r="AR113" s="243"/>
      <c r="AS113" s="243"/>
      <c r="AT113" s="243"/>
      <c r="AU113" s="243"/>
      <c r="AV113" s="243"/>
      <c r="AW113" s="243"/>
      <c r="AX113" s="243"/>
      <c r="AY113" s="243"/>
      <c r="AZ113" s="243"/>
      <c r="BA113" s="243"/>
      <c r="BB113" s="243"/>
      <c r="BC113" s="243"/>
      <c r="BD113" s="243"/>
      <c r="BE113" s="243"/>
      <c r="BF113" s="243"/>
      <c r="BG113" s="243"/>
      <c r="BH113" s="243"/>
      <c r="BI113" s="243"/>
      <c r="BJ113" s="243"/>
      <c r="BK113" s="243"/>
      <c r="BL113" s="243"/>
      <c r="BM113" s="243"/>
      <c r="BN113" s="243"/>
      <c r="BO113" s="243"/>
      <c r="BP113" s="243"/>
      <c r="BQ113" s="243"/>
      <c r="BR113" s="243"/>
      <c r="BS113" s="243"/>
      <c r="BT113" s="243"/>
      <c r="BU113" s="243"/>
      <c r="BV113" s="243"/>
      <c r="BW113" s="243"/>
      <c r="BX113" s="243"/>
      <c r="BY113" s="243"/>
      <c r="BZ113" s="243"/>
      <c r="CA113" s="243"/>
      <c r="CB113" s="243"/>
      <c r="CC113" s="243"/>
      <c r="CD113" s="243"/>
      <c r="CE113" s="243"/>
      <c r="CF113" s="243"/>
      <c r="CG113" s="243"/>
      <c r="CH113" s="243"/>
      <c r="CI113" s="243"/>
      <c r="CJ113" s="243"/>
      <c r="CK113" s="243"/>
      <c r="CL113" s="243"/>
      <c r="CM113" s="243"/>
      <c r="CN113" s="243"/>
      <c r="CO113" s="243"/>
      <c r="CP113" s="243"/>
      <c r="CQ113" s="243"/>
      <c r="CR113" s="243"/>
      <c r="CS113" s="243"/>
      <c r="CT113" s="243"/>
      <c r="CU113" s="243"/>
      <c r="CV113" s="243"/>
      <c r="CW113" s="243"/>
      <c r="CX113" s="243"/>
      <c r="CY113" s="243"/>
      <c r="CZ113" s="243"/>
      <c r="DA113" s="243"/>
      <c r="DB113" s="243"/>
      <c r="DC113" s="243"/>
      <c r="DD113" s="243"/>
      <c r="DE113" s="243"/>
      <c r="DF113" s="243"/>
      <c r="DG113" s="243"/>
      <c r="DH113" s="243"/>
      <c r="DI113" s="243"/>
      <c r="DJ113" s="243"/>
      <c r="DK113" s="243"/>
      <c r="DL113" s="243"/>
      <c r="DM113" s="243"/>
      <c r="DN113" s="243"/>
      <c r="DO113" s="243"/>
      <c r="DP113" s="243"/>
      <c r="DQ113" s="243"/>
      <c r="DR113" s="243"/>
      <c r="DS113" s="243"/>
      <c r="DT113" s="243"/>
      <c r="DU113" s="243"/>
      <c r="DV113" s="243"/>
      <c r="DW113" s="243"/>
      <c r="DX113" s="243"/>
      <c r="DY113" s="243"/>
      <c r="DZ113" s="243"/>
      <c r="EA113" s="243"/>
      <c r="EB113" s="243"/>
      <c r="EC113" s="243"/>
      <c r="ED113" s="243"/>
      <c r="EE113" s="243"/>
      <c r="EF113" s="243"/>
      <c r="EG113" s="243"/>
      <c r="EH113" s="243"/>
      <c r="EI113" s="243"/>
      <c r="EJ113" s="243"/>
      <c r="EK113" s="243"/>
      <c r="EL113" s="243"/>
      <c r="EM113" s="243"/>
      <c r="EN113" s="243"/>
      <c r="EO113" s="243"/>
      <c r="EP113" s="243"/>
      <c r="EQ113" s="243"/>
      <c r="ER113" s="243"/>
      <c r="ES113" s="243"/>
      <c r="ET113" s="243"/>
      <c r="EU113" s="243"/>
      <c r="EV113" s="243"/>
      <c r="EW113" s="243"/>
      <c r="EX113" s="243"/>
      <c r="EY113" s="243"/>
      <c r="EZ113" s="243"/>
      <c r="FA113" s="243"/>
      <c r="FB113" s="243"/>
      <c r="FC113" s="243"/>
      <c r="FD113" s="243"/>
      <c r="FE113" s="243"/>
      <c r="FF113" s="243"/>
      <c r="FG113" s="243"/>
      <c r="FH113" s="243"/>
      <c r="FI113" s="243"/>
      <c r="FJ113" s="243"/>
      <c r="FK113" s="243"/>
      <c r="FL113" s="243"/>
      <c r="FM113" s="243"/>
      <c r="FN113" s="243"/>
      <c r="FO113" s="243"/>
      <c r="FP113" s="243"/>
      <c r="FQ113" s="243"/>
      <c r="FR113" s="243"/>
      <c r="FS113" s="243"/>
      <c r="FT113" s="243"/>
      <c r="FU113" s="243"/>
      <c r="FV113" s="243"/>
      <c r="FW113" s="243"/>
      <c r="FX113" s="243"/>
      <c r="FY113" s="243"/>
      <c r="FZ113" s="243"/>
      <c r="GA113" s="243"/>
      <c r="GB113" s="243"/>
      <c r="GC113" s="243"/>
      <c r="GD113" s="243"/>
      <c r="GE113" s="243"/>
      <c r="GF113" s="243"/>
      <c r="GG113" s="243"/>
      <c r="GH113" s="243"/>
      <c r="GI113" s="243"/>
      <c r="GJ113" s="243"/>
      <c r="GK113" s="243"/>
      <c r="GL113" s="243"/>
      <c r="GM113" s="243"/>
      <c r="GN113" s="243"/>
      <c r="GO113" s="243"/>
      <c r="GP113" s="243"/>
      <c r="GQ113" s="243"/>
      <c r="GR113" s="243"/>
      <c r="GS113" s="243"/>
      <c r="GT113" s="243"/>
      <c r="GU113" s="243"/>
      <c r="GV113" s="243"/>
      <c r="GW113" s="243"/>
      <c r="GX113" s="243"/>
      <c r="GY113" s="243"/>
      <c r="GZ113" s="243"/>
      <c r="HA113" s="243"/>
      <c r="HB113" s="243"/>
      <c r="HC113" s="243"/>
      <c r="HD113" s="243"/>
      <c r="HE113" s="243"/>
      <c r="HF113" s="243"/>
      <c r="HG113" s="243"/>
      <c r="HH113" s="243"/>
      <c r="HI113" s="243"/>
      <c r="HJ113" s="243"/>
      <c r="HK113" s="243"/>
      <c r="HL113" s="243"/>
      <c r="HM113" s="243"/>
      <c r="HN113" s="243"/>
      <c r="HO113" s="243"/>
      <c r="HP113" s="243"/>
      <c r="HQ113" s="243"/>
      <c r="HR113" s="243"/>
      <c r="HS113" s="243"/>
      <c r="HT113" s="243"/>
      <c r="HU113" s="243"/>
      <c r="HV113" s="243"/>
      <c r="HW113" s="243"/>
      <c r="HX113" s="243"/>
      <c r="HY113" s="243"/>
      <c r="HZ113" s="243"/>
      <c r="IA113" s="243"/>
    </row>
    <row r="114" spans="1:235" s="244" customFormat="1" ht="39" customHeight="1" x14ac:dyDescent="0.25">
      <c r="A114" s="241">
        <v>1</v>
      </c>
      <c r="B114" s="242" t="s">
        <v>108</v>
      </c>
      <c r="C114" s="363" t="s">
        <v>335</v>
      </c>
      <c r="D114" s="364" t="s">
        <v>124</v>
      </c>
      <c r="E114" s="365">
        <v>33.4</v>
      </c>
      <c r="F114" s="63"/>
      <c r="G114" s="64"/>
      <c r="H114" s="65"/>
      <c r="I114" s="64"/>
      <c r="J114" s="64"/>
      <c r="K114" s="66"/>
      <c r="L114" s="67"/>
      <c r="M114" s="64"/>
      <c r="N114" s="64"/>
      <c r="O114" s="64"/>
      <c r="P114" s="68"/>
      <c r="Q114" s="69"/>
      <c r="R114" s="137"/>
      <c r="S114" s="69"/>
      <c r="T114" s="243"/>
      <c r="U114" s="243"/>
      <c r="V114" s="243"/>
      <c r="W114" s="243"/>
      <c r="X114" s="243"/>
      <c r="Y114" s="243"/>
      <c r="Z114" s="243"/>
      <c r="AA114" s="243"/>
      <c r="AB114" s="243"/>
      <c r="AC114" s="243"/>
      <c r="AD114" s="243"/>
      <c r="AE114" s="243"/>
      <c r="AF114" s="243"/>
      <c r="AG114" s="243"/>
      <c r="AH114" s="243"/>
      <c r="AI114" s="243"/>
      <c r="AJ114" s="243"/>
      <c r="AK114" s="243"/>
      <c r="AL114" s="243"/>
      <c r="AM114" s="243"/>
      <c r="AN114" s="243"/>
      <c r="AO114" s="243"/>
      <c r="AP114" s="243"/>
      <c r="AQ114" s="243"/>
      <c r="AR114" s="243"/>
      <c r="AS114" s="243"/>
      <c r="AT114" s="243"/>
      <c r="AU114" s="243"/>
      <c r="AV114" s="243"/>
      <c r="AW114" s="243"/>
      <c r="AX114" s="243"/>
      <c r="AY114" s="243"/>
      <c r="AZ114" s="243"/>
      <c r="BA114" s="243"/>
      <c r="BB114" s="243"/>
      <c r="BC114" s="243"/>
      <c r="BD114" s="243"/>
      <c r="BE114" s="243"/>
      <c r="BF114" s="243"/>
      <c r="BG114" s="243"/>
      <c r="BH114" s="243"/>
      <c r="BI114" s="243"/>
      <c r="BJ114" s="243"/>
      <c r="BK114" s="243"/>
      <c r="BL114" s="243"/>
      <c r="BM114" s="243"/>
      <c r="BN114" s="243"/>
      <c r="BO114" s="243"/>
      <c r="BP114" s="243"/>
      <c r="BQ114" s="243"/>
      <c r="BR114" s="243"/>
      <c r="BS114" s="243"/>
      <c r="BT114" s="243"/>
      <c r="BU114" s="243"/>
      <c r="BV114" s="243"/>
      <c r="BW114" s="243"/>
      <c r="BX114" s="243"/>
      <c r="BY114" s="243"/>
      <c r="BZ114" s="243"/>
      <c r="CA114" s="243"/>
      <c r="CB114" s="243"/>
      <c r="CC114" s="243"/>
      <c r="CD114" s="243"/>
      <c r="CE114" s="243"/>
      <c r="CF114" s="243"/>
      <c r="CG114" s="243"/>
      <c r="CH114" s="243"/>
      <c r="CI114" s="243"/>
      <c r="CJ114" s="243"/>
      <c r="CK114" s="243"/>
      <c r="CL114" s="243"/>
      <c r="CM114" s="243"/>
      <c r="CN114" s="243"/>
      <c r="CO114" s="243"/>
      <c r="CP114" s="243"/>
      <c r="CQ114" s="243"/>
      <c r="CR114" s="243"/>
      <c r="CS114" s="243"/>
      <c r="CT114" s="243"/>
      <c r="CU114" s="243"/>
      <c r="CV114" s="243"/>
      <c r="CW114" s="243"/>
      <c r="CX114" s="243"/>
      <c r="CY114" s="243"/>
      <c r="CZ114" s="243"/>
      <c r="DA114" s="243"/>
      <c r="DB114" s="243"/>
      <c r="DC114" s="243"/>
      <c r="DD114" s="243"/>
      <c r="DE114" s="243"/>
      <c r="DF114" s="243"/>
      <c r="DG114" s="243"/>
      <c r="DH114" s="243"/>
      <c r="DI114" s="243"/>
      <c r="DJ114" s="243"/>
      <c r="DK114" s="243"/>
      <c r="DL114" s="243"/>
      <c r="DM114" s="243"/>
      <c r="DN114" s="243"/>
      <c r="DO114" s="243"/>
      <c r="DP114" s="243"/>
      <c r="DQ114" s="243"/>
      <c r="DR114" s="243"/>
      <c r="DS114" s="243"/>
      <c r="DT114" s="243"/>
      <c r="DU114" s="243"/>
      <c r="DV114" s="243"/>
      <c r="DW114" s="243"/>
      <c r="DX114" s="243"/>
      <c r="DY114" s="243"/>
      <c r="DZ114" s="243"/>
      <c r="EA114" s="243"/>
      <c r="EB114" s="243"/>
      <c r="EC114" s="243"/>
      <c r="ED114" s="243"/>
      <c r="EE114" s="243"/>
      <c r="EF114" s="243"/>
      <c r="EG114" s="243"/>
      <c r="EH114" s="243"/>
      <c r="EI114" s="243"/>
      <c r="EJ114" s="243"/>
      <c r="EK114" s="243"/>
      <c r="EL114" s="243"/>
      <c r="EM114" s="243"/>
      <c r="EN114" s="243"/>
      <c r="EO114" s="243"/>
      <c r="EP114" s="243"/>
      <c r="EQ114" s="243"/>
      <c r="ER114" s="243"/>
      <c r="ES114" s="243"/>
      <c r="ET114" s="243"/>
      <c r="EU114" s="243"/>
      <c r="EV114" s="243"/>
      <c r="EW114" s="243"/>
      <c r="EX114" s="243"/>
      <c r="EY114" s="243"/>
      <c r="EZ114" s="243"/>
      <c r="FA114" s="243"/>
      <c r="FB114" s="243"/>
      <c r="FC114" s="243"/>
      <c r="FD114" s="243"/>
      <c r="FE114" s="243"/>
      <c r="FF114" s="243"/>
      <c r="FG114" s="243"/>
      <c r="FH114" s="243"/>
      <c r="FI114" s="243"/>
      <c r="FJ114" s="243"/>
      <c r="FK114" s="243"/>
      <c r="FL114" s="243"/>
      <c r="FM114" s="243"/>
      <c r="FN114" s="243"/>
      <c r="FO114" s="243"/>
      <c r="FP114" s="243"/>
      <c r="FQ114" s="243"/>
      <c r="FR114" s="243"/>
      <c r="FS114" s="243"/>
      <c r="FT114" s="243"/>
      <c r="FU114" s="243"/>
      <c r="FV114" s="243"/>
      <c r="FW114" s="243"/>
      <c r="FX114" s="243"/>
      <c r="FY114" s="243"/>
      <c r="FZ114" s="243"/>
      <c r="GA114" s="243"/>
      <c r="GB114" s="243"/>
      <c r="GC114" s="243"/>
      <c r="GD114" s="243"/>
      <c r="GE114" s="243"/>
      <c r="GF114" s="243"/>
      <c r="GG114" s="243"/>
      <c r="GH114" s="243"/>
      <c r="GI114" s="243"/>
      <c r="GJ114" s="243"/>
      <c r="GK114" s="243"/>
      <c r="GL114" s="243"/>
      <c r="GM114" s="243"/>
      <c r="GN114" s="243"/>
      <c r="GO114" s="243"/>
      <c r="GP114" s="243"/>
      <c r="GQ114" s="243"/>
      <c r="GR114" s="243"/>
      <c r="GS114" s="243"/>
      <c r="GT114" s="243"/>
      <c r="GU114" s="243"/>
      <c r="GV114" s="243"/>
      <c r="GW114" s="243"/>
      <c r="GX114" s="243"/>
      <c r="GY114" s="243"/>
      <c r="GZ114" s="243"/>
      <c r="HA114" s="243"/>
      <c r="HB114" s="243"/>
      <c r="HC114" s="243"/>
      <c r="HD114" s="243"/>
      <c r="HE114" s="243"/>
      <c r="HF114" s="243"/>
      <c r="HG114" s="243"/>
      <c r="HH114" s="243"/>
      <c r="HI114" s="243"/>
      <c r="HJ114" s="243"/>
      <c r="HK114" s="243"/>
      <c r="HL114" s="243"/>
      <c r="HM114" s="243"/>
      <c r="HN114" s="243"/>
      <c r="HO114" s="243"/>
      <c r="HP114" s="243"/>
      <c r="HQ114" s="243"/>
      <c r="HR114" s="243"/>
      <c r="HS114" s="243"/>
      <c r="HT114" s="243"/>
      <c r="HU114" s="243"/>
      <c r="HV114" s="243"/>
      <c r="HW114" s="243"/>
      <c r="HX114" s="243"/>
      <c r="HY114" s="243"/>
      <c r="HZ114" s="243"/>
      <c r="IA114" s="243"/>
    </row>
    <row r="115" spans="1:235" s="244" customFormat="1" ht="14.25" customHeight="1" x14ac:dyDescent="0.25">
      <c r="A115" s="241">
        <v>2</v>
      </c>
      <c r="B115" s="242"/>
      <c r="C115" s="366" t="s">
        <v>176</v>
      </c>
      <c r="D115" s="364" t="s">
        <v>177</v>
      </c>
      <c r="E115" s="365">
        <f>E114*0.17</f>
        <v>5.6779999999999999</v>
      </c>
      <c r="F115" s="63"/>
      <c r="G115" s="64"/>
      <c r="H115" s="65"/>
      <c r="I115" s="64"/>
      <c r="J115" s="64"/>
      <c r="K115" s="66"/>
      <c r="L115" s="67"/>
      <c r="M115" s="64"/>
      <c r="N115" s="64"/>
      <c r="O115" s="64"/>
      <c r="P115" s="68"/>
      <c r="Q115" s="69"/>
      <c r="R115" s="137"/>
      <c r="S115" s="69"/>
      <c r="T115" s="243"/>
      <c r="U115" s="243"/>
      <c r="V115" s="243"/>
      <c r="W115" s="243"/>
      <c r="X115" s="243"/>
      <c r="Y115" s="243"/>
      <c r="Z115" s="243"/>
      <c r="AA115" s="243"/>
      <c r="AB115" s="243"/>
      <c r="AC115" s="243"/>
      <c r="AD115" s="243"/>
      <c r="AE115" s="243"/>
      <c r="AF115" s="243"/>
      <c r="AG115" s="243"/>
      <c r="AH115" s="243"/>
      <c r="AI115" s="243"/>
      <c r="AJ115" s="243"/>
      <c r="AK115" s="243"/>
      <c r="AL115" s="243"/>
      <c r="AM115" s="243"/>
      <c r="AN115" s="243"/>
      <c r="AO115" s="243"/>
      <c r="AP115" s="243"/>
      <c r="AQ115" s="243"/>
      <c r="AR115" s="243"/>
      <c r="AS115" s="243"/>
      <c r="AT115" s="243"/>
      <c r="AU115" s="243"/>
      <c r="AV115" s="243"/>
      <c r="AW115" s="243"/>
      <c r="AX115" s="243"/>
      <c r="AY115" s="243"/>
      <c r="AZ115" s="243"/>
      <c r="BA115" s="243"/>
      <c r="BB115" s="243"/>
      <c r="BC115" s="243"/>
      <c r="BD115" s="243"/>
      <c r="BE115" s="243"/>
      <c r="BF115" s="243"/>
      <c r="BG115" s="243"/>
      <c r="BH115" s="243"/>
      <c r="BI115" s="243"/>
      <c r="BJ115" s="243"/>
      <c r="BK115" s="243"/>
      <c r="BL115" s="243"/>
      <c r="BM115" s="243"/>
      <c r="BN115" s="243"/>
      <c r="BO115" s="243"/>
      <c r="BP115" s="243"/>
      <c r="BQ115" s="243"/>
      <c r="BR115" s="243"/>
      <c r="BS115" s="243"/>
      <c r="BT115" s="243"/>
      <c r="BU115" s="243"/>
      <c r="BV115" s="243"/>
      <c r="BW115" s="243"/>
      <c r="BX115" s="243"/>
      <c r="BY115" s="243"/>
      <c r="BZ115" s="243"/>
      <c r="CA115" s="243"/>
      <c r="CB115" s="243"/>
      <c r="CC115" s="243"/>
      <c r="CD115" s="243"/>
      <c r="CE115" s="243"/>
      <c r="CF115" s="243"/>
      <c r="CG115" s="243"/>
      <c r="CH115" s="243"/>
      <c r="CI115" s="243"/>
      <c r="CJ115" s="243"/>
      <c r="CK115" s="243"/>
      <c r="CL115" s="243"/>
      <c r="CM115" s="243"/>
      <c r="CN115" s="243"/>
      <c r="CO115" s="243"/>
      <c r="CP115" s="243"/>
      <c r="CQ115" s="243"/>
      <c r="CR115" s="243"/>
      <c r="CS115" s="243"/>
      <c r="CT115" s="243"/>
      <c r="CU115" s="243"/>
      <c r="CV115" s="243"/>
      <c r="CW115" s="243"/>
      <c r="CX115" s="243"/>
      <c r="CY115" s="243"/>
      <c r="CZ115" s="243"/>
      <c r="DA115" s="243"/>
      <c r="DB115" s="243"/>
      <c r="DC115" s="243"/>
      <c r="DD115" s="243"/>
      <c r="DE115" s="243"/>
      <c r="DF115" s="243"/>
      <c r="DG115" s="243"/>
      <c r="DH115" s="243"/>
      <c r="DI115" s="243"/>
      <c r="DJ115" s="243"/>
      <c r="DK115" s="243"/>
      <c r="DL115" s="243"/>
      <c r="DM115" s="243"/>
      <c r="DN115" s="243"/>
      <c r="DO115" s="243"/>
      <c r="DP115" s="243"/>
      <c r="DQ115" s="243"/>
      <c r="DR115" s="243"/>
      <c r="DS115" s="243"/>
      <c r="DT115" s="243"/>
      <c r="DU115" s="243"/>
      <c r="DV115" s="243"/>
      <c r="DW115" s="243"/>
      <c r="DX115" s="243"/>
      <c r="DY115" s="243"/>
      <c r="DZ115" s="243"/>
      <c r="EA115" s="243"/>
      <c r="EB115" s="243"/>
      <c r="EC115" s="243"/>
      <c r="ED115" s="243"/>
      <c r="EE115" s="243"/>
      <c r="EF115" s="243"/>
      <c r="EG115" s="243"/>
      <c r="EH115" s="243"/>
      <c r="EI115" s="243"/>
      <c r="EJ115" s="243"/>
      <c r="EK115" s="243"/>
      <c r="EL115" s="243"/>
      <c r="EM115" s="243"/>
      <c r="EN115" s="243"/>
      <c r="EO115" s="243"/>
      <c r="EP115" s="243"/>
      <c r="EQ115" s="243"/>
      <c r="ER115" s="243"/>
      <c r="ES115" s="243"/>
      <c r="ET115" s="243"/>
      <c r="EU115" s="243"/>
      <c r="EV115" s="243"/>
      <c r="EW115" s="243"/>
      <c r="EX115" s="243"/>
      <c r="EY115" s="243"/>
      <c r="EZ115" s="243"/>
      <c r="FA115" s="243"/>
      <c r="FB115" s="243"/>
      <c r="FC115" s="243"/>
      <c r="FD115" s="243"/>
      <c r="FE115" s="243"/>
      <c r="FF115" s="243"/>
      <c r="FG115" s="243"/>
      <c r="FH115" s="243"/>
      <c r="FI115" s="243"/>
      <c r="FJ115" s="243"/>
      <c r="FK115" s="243"/>
      <c r="FL115" s="243"/>
      <c r="FM115" s="243"/>
      <c r="FN115" s="243"/>
      <c r="FO115" s="243"/>
      <c r="FP115" s="243"/>
      <c r="FQ115" s="243"/>
      <c r="FR115" s="243"/>
      <c r="FS115" s="243"/>
      <c r="FT115" s="243"/>
      <c r="FU115" s="243"/>
      <c r="FV115" s="243"/>
      <c r="FW115" s="243"/>
      <c r="FX115" s="243"/>
      <c r="FY115" s="243"/>
      <c r="FZ115" s="243"/>
      <c r="GA115" s="243"/>
      <c r="GB115" s="243"/>
      <c r="GC115" s="243"/>
      <c r="GD115" s="243"/>
      <c r="GE115" s="243"/>
      <c r="GF115" s="243"/>
      <c r="GG115" s="243"/>
      <c r="GH115" s="243"/>
      <c r="GI115" s="243"/>
      <c r="GJ115" s="243"/>
      <c r="GK115" s="243"/>
      <c r="GL115" s="243"/>
      <c r="GM115" s="243"/>
      <c r="GN115" s="243"/>
      <c r="GO115" s="243"/>
      <c r="GP115" s="243"/>
      <c r="GQ115" s="243"/>
      <c r="GR115" s="243"/>
      <c r="GS115" s="243"/>
      <c r="GT115" s="243"/>
      <c r="GU115" s="243"/>
      <c r="GV115" s="243"/>
      <c r="GW115" s="243"/>
      <c r="GX115" s="243"/>
      <c r="GY115" s="243"/>
      <c r="GZ115" s="243"/>
      <c r="HA115" s="243"/>
      <c r="HB115" s="243"/>
      <c r="HC115" s="243"/>
      <c r="HD115" s="243"/>
      <c r="HE115" s="243"/>
      <c r="HF115" s="243"/>
      <c r="HG115" s="243"/>
      <c r="HH115" s="243"/>
      <c r="HI115" s="243"/>
      <c r="HJ115" s="243"/>
      <c r="HK115" s="243"/>
      <c r="HL115" s="243"/>
      <c r="HM115" s="243"/>
      <c r="HN115" s="243"/>
      <c r="HO115" s="243"/>
      <c r="HP115" s="243"/>
      <c r="HQ115" s="243"/>
      <c r="HR115" s="243"/>
      <c r="HS115" s="243"/>
      <c r="HT115" s="243"/>
      <c r="HU115" s="243"/>
      <c r="HV115" s="243"/>
      <c r="HW115" s="243"/>
      <c r="HX115" s="243"/>
      <c r="HY115" s="243"/>
      <c r="HZ115" s="243"/>
      <c r="IA115" s="243"/>
    </row>
    <row r="116" spans="1:235" s="244" customFormat="1" ht="14.25" customHeight="1" x14ac:dyDescent="0.25">
      <c r="A116" s="241">
        <v>3</v>
      </c>
      <c r="B116" s="242"/>
      <c r="C116" s="366" t="s">
        <v>179</v>
      </c>
      <c r="D116" s="364" t="s">
        <v>180</v>
      </c>
      <c r="E116" s="365">
        <f>E114*10*1.15</f>
        <v>384.09999999999997</v>
      </c>
      <c r="F116" s="63"/>
      <c r="G116" s="64"/>
      <c r="H116" s="65"/>
      <c r="I116" s="64"/>
      <c r="J116" s="64"/>
      <c r="K116" s="66"/>
      <c r="L116" s="67"/>
      <c r="M116" s="64"/>
      <c r="N116" s="64"/>
      <c r="O116" s="64"/>
      <c r="P116" s="68"/>
      <c r="Q116" s="69"/>
      <c r="R116" s="137"/>
      <c r="S116" s="69"/>
      <c r="T116" s="243"/>
      <c r="U116" s="243"/>
      <c r="V116" s="243"/>
      <c r="W116" s="243"/>
      <c r="X116" s="243"/>
      <c r="Y116" s="243"/>
      <c r="Z116" s="243"/>
      <c r="AA116" s="243"/>
      <c r="AB116" s="243"/>
      <c r="AC116" s="243"/>
      <c r="AD116" s="243"/>
      <c r="AE116" s="243"/>
      <c r="AF116" s="243"/>
      <c r="AG116" s="243"/>
      <c r="AH116" s="243"/>
      <c r="AI116" s="243"/>
      <c r="AJ116" s="243"/>
      <c r="AK116" s="243"/>
      <c r="AL116" s="243"/>
      <c r="AM116" s="243"/>
      <c r="AN116" s="243"/>
      <c r="AO116" s="243"/>
      <c r="AP116" s="243"/>
      <c r="AQ116" s="243"/>
      <c r="AR116" s="243"/>
      <c r="AS116" s="243"/>
      <c r="AT116" s="243"/>
      <c r="AU116" s="243"/>
      <c r="AV116" s="243"/>
      <c r="AW116" s="243"/>
      <c r="AX116" s="243"/>
      <c r="AY116" s="243"/>
      <c r="AZ116" s="243"/>
      <c r="BA116" s="243"/>
      <c r="BB116" s="243"/>
      <c r="BC116" s="243"/>
      <c r="BD116" s="243"/>
      <c r="BE116" s="243"/>
      <c r="BF116" s="243"/>
      <c r="BG116" s="243"/>
      <c r="BH116" s="243"/>
      <c r="BI116" s="243"/>
      <c r="BJ116" s="243"/>
      <c r="BK116" s="243"/>
      <c r="BL116" s="243"/>
      <c r="BM116" s="243"/>
      <c r="BN116" s="243"/>
      <c r="BO116" s="243"/>
      <c r="BP116" s="243"/>
      <c r="BQ116" s="243"/>
      <c r="BR116" s="243"/>
      <c r="BS116" s="243"/>
      <c r="BT116" s="243"/>
      <c r="BU116" s="243"/>
      <c r="BV116" s="243"/>
      <c r="BW116" s="243"/>
      <c r="BX116" s="243"/>
      <c r="BY116" s="243"/>
      <c r="BZ116" s="243"/>
      <c r="CA116" s="243"/>
      <c r="CB116" s="243"/>
      <c r="CC116" s="243"/>
      <c r="CD116" s="243"/>
      <c r="CE116" s="243"/>
      <c r="CF116" s="243"/>
      <c r="CG116" s="243"/>
      <c r="CH116" s="243"/>
      <c r="CI116" s="243"/>
      <c r="CJ116" s="243"/>
      <c r="CK116" s="243"/>
      <c r="CL116" s="243"/>
      <c r="CM116" s="243"/>
      <c r="CN116" s="243"/>
      <c r="CO116" s="243"/>
      <c r="CP116" s="243"/>
      <c r="CQ116" s="243"/>
      <c r="CR116" s="243"/>
      <c r="CS116" s="243"/>
      <c r="CT116" s="243"/>
      <c r="CU116" s="243"/>
      <c r="CV116" s="243"/>
      <c r="CW116" s="243"/>
      <c r="CX116" s="243"/>
      <c r="CY116" s="243"/>
      <c r="CZ116" s="243"/>
      <c r="DA116" s="243"/>
      <c r="DB116" s="243"/>
      <c r="DC116" s="243"/>
      <c r="DD116" s="243"/>
      <c r="DE116" s="243"/>
      <c r="DF116" s="243"/>
      <c r="DG116" s="243"/>
      <c r="DH116" s="243"/>
      <c r="DI116" s="243"/>
      <c r="DJ116" s="243"/>
      <c r="DK116" s="243"/>
      <c r="DL116" s="243"/>
      <c r="DM116" s="243"/>
      <c r="DN116" s="243"/>
      <c r="DO116" s="243"/>
      <c r="DP116" s="243"/>
      <c r="DQ116" s="243"/>
      <c r="DR116" s="243"/>
      <c r="DS116" s="243"/>
      <c r="DT116" s="243"/>
      <c r="DU116" s="243"/>
      <c r="DV116" s="243"/>
      <c r="DW116" s="243"/>
      <c r="DX116" s="243"/>
      <c r="DY116" s="243"/>
      <c r="DZ116" s="243"/>
      <c r="EA116" s="243"/>
      <c r="EB116" s="243"/>
      <c r="EC116" s="243"/>
      <c r="ED116" s="243"/>
      <c r="EE116" s="243"/>
      <c r="EF116" s="243"/>
      <c r="EG116" s="243"/>
      <c r="EH116" s="243"/>
      <c r="EI116" s="243"/>
      <c r="EJ116" s="243"/>
      <c r="EK116" s="243"/>
      <c r="EL116" s="243"/>
      <c r="EM116" s="243"/>
      <c r="EN116" s="243"/>
      <c r="EO116" s="243"/>
      <c r="EP116" s="243"/>
      <c r="EQ116" s="243"/>
      <c r="ER116" s="243"/>
      <c r="ES116" s="243"/>
      <c r="ET116" s="243"/>
      <c r="EU116" s="243"/>
      <c r="EV116" s="243"/>
      <c r="EW116" s="243"/>
      <c r="EX116" s="243"/>
      <c r="EY116" s="243"/>
      <c r="EZ116" s="243"/>
      <c r="FA116" s="243"/>
      <c r="FB116" s="243"/>
      <c r="FC116" s="243"/>
      <c r="FD116" s="243"/>
      <c r="FE116" s="243"/>
      <c r="FF116" s="243"/>
      <c r="FG116" s="243"/>
      <c r="FH116" s="243"/>
      <c r="FI116" s="243"/>
      <c r="FJ116" s="243"/>
      <c r="FK116" s="243"/>
      <c r="FL116" s="243"/>
      <c r="FM116" s="243"/>
      <c r="FN116" s="243"/>
      <c r="FO116" s="243"/>
      <c r="FP116" s="243"/>
      <c r="FQ116" s="243"/>
      <c r="FR116" s="243"/>
      <c r="FS116" s="243"/>
      <c r="FT116" s="243"/>
      <c r="FU116" s="243"/>
      <c r="FV116" s="243"/>
      <c r="FW116" s="243"/>
      <c r="FX116" s="243"/>
      <c r="FY116" s="243"/>
      <c r="FZ116" s="243"/>
      <c r="GA116" s="243"/>
      <c r="GB116" s="243"/>
      <c r="GC116" s="243"/>
      <c r="GD116" s="243"/>
      <c r="GE116" s="243"/>
      <c r="GF116" s="243"/>
      <c r="GG116" s="243"/>
      <c r="GH116" s="243"/>
      <c r="GI116" s="243"/>
      <c r="GJ116" s="243"/>
      <c r="GK116" s="243"/>
      <c r="GL116" s="243"/>
      <c r="GM116" s="243"/>
      <c r="GN116" s="243"/>
      <c r="GO116" s="243"/>
      <c r="GP116" s="243"/>
      <c r="GQ116" s="243"/>
      <c r="GR116" s="243"/>
      <c r="GS116" s="243"/>
      <c r="GT116" s="243"/>
      <c r="GU116" s="243"/>
      <c r="GV116" s="243"/>
      <c r="GW116" s="243"/>
      <c r="GX116" s="243"/>
      <c r="GY116" s="243"/>
      <c r="GZ116" s="243"/>
      <c r="HA116" s="243"/>
      <c r="HB116" s="243"/>
      <c r="HC116" s="243"/>
      <c r="HD116" s="243"/>
      <c r="HE116" s="243"/>
      <c r="HF116" s="243"/>
      <c r="HG116" s="243"/>
      <c r="HH116" s="243"/>
      <c r="HI116" s="243"/>
      <c r="HJ116" s="243"/>
      <c r="HK116" s="243"/>
      <c r="HL116" s="243"/>
      <c r="HM116" s="243"/>
      <c r="HN116" s="243"/>
      <c r="HO116" s="243"/>
      <c r="HP116" s="243"/>
      <c r="HQ116" s="243"/>
      <c r="HR116" s="243"/>
      <c r="HS116" s="243"/>
      <c r="HT116" s="243"/>
      <c r="HU116" s="243"/>
      <c r="HV116" s="243"/>
      <c r="HW116" s="243"/>
      <c r="HX116" s="243"/>
      <c r="HY116" s="243"/>
      <c r="HZ116" s="243"/>
      <c r="IA116" s="243"/>
    </row>
    <row r="117" spans="1:235" s="244" customFormat="1" ht="14.25" customHeight="1" x14ac:dyDescent="0.25">
      <c r="A117" s="241">
        <v>4</v>
      </c>
      <c r="B117" s="242"/>
      <c r="C117" s="366" t="s">
        <v>336</v>
      </c>
      <c r="D117" s="364" t="s">
        <v>124</v>
      </c>
      <c r="E117" s="365">
        <f>E114*1.2</f>
        <v>40.08</v>
      </c>
      <c r="F117" s="63"/>
      <c r="G117" s="64"/>
      <c r="H117" s="65"/>
      <c r="I117" s="64"/>
      <c r="J117" s="64"/>
      <c r="K117" s="66"/>
      <c r="L117" s="67"/>
      <c r="M117" s="64"/>
      <c r="N117" s="64"/>
      <c r="O117" s="64"/>
      <c r="P117" s="68"/>
      <c r="Q117" s="69"/>
      <c r="R117" s="137"/>
      <c r="S117" s="69"/>
      <c r="T117" s="243"/>
      <c r="U117" s="243"/>
      <c r="V117" s="243"/>
      <c r="W117" s="243"/>
      <c r="X117" s="243"/>
      <c r="Y117" s="243"/>
      <c r="Z117" s="243"/>
      <c r="AA117" s="243"/>
      <c r="AB117" s="243"/>
      <c r="AC117" s="243"/>
      <c r="AD117" s="243"/>
      <c r="AE117" s="243"/>
      <c r="AF117" s="243"/>
      <c r="AG117" s="243"/>
      <c r="AH117" s="243"/>
      <c r="AI117" s="243"/>
      <c r="AJ117" s="243"/>
      <c r="AK117" s="243"/>
      <c r="AL117" s="243"/>
      <c r="AM117" s="243"/>
      <c r="AN117" s="243"/>
      <c r="AO117" s="243"/>
      <c r="AP117" s="243"/>
      <c r="AQ117" s="243"/>
      <c r="AR117" s="243"/>
      <c r="AS117" s="243"/>
      <c r="AT117" s="243"/>
      <c r="AU117" s="243"/>
      <c r="AV117" s="243"/>
      <c r="AW117" s="243"/>
      <c r="AX117" s="243"/>
      <c r="AY117" s="243"/>
      <c r="AZ117" s="243"/>
      <c r="BA117" s="243"/>
      <c r="BB117" s="243"/>
      <c r="BC117" s="243"/>
      <c r="BD117" s="243"/>
      <c r="BE117" s="243"/>
      <c r="BF117" s="243"/>
      <c r="BG117" s="243"/>
      <c r="BH117" s="243"/>
      <c r="BI117" s="243"/>
      <c r="BJ117" s="243"/>
      <c r="BK117" s="243"/>
      <c r="BL117" s="243"/>
      <c r="BM117" s="243"/>
      <c r="BN117" s="243"/>
      <c r="BO117" s="243"/>
      <c r="BP117" s="243"/>
      <c r="BQ117" s="243"/>
      <c r="BR117" s="243"/>
      <c r="BS117" s="243"/>
      <c r="BT117" s="243"/>
      <c r="BU117" s="243"/>
      <c r="BV117" s="243"/>
      <c r="BW117" s="243"/>
      <c r="BX117" s="243"/>
      <c r="BY117" s="243"/>
      <c r="BZ117" s="243"/>
      <c r="CA117" s="243"/>
      <c r="CB117" s="243"/>
      <c r="CC117" s="243"/>
      <c r="CD117" s="243"/>
      <c r="CE117" s="243"/>
      <c r="CF117" s="243"/>
      <c r="CG117" s="243"/>
      <c r="CH117" s="243"/>
      <c r="CI117" s="243"/>
      <c r="CJ117" s="243"/>
      <c r="CK117" s="243"/>
      <c r="CL117" s="243"/>
      <c r="CM117" s="243"/>
      <c r="CN117" s="243"/>
      <c r="CO117" s="243"/>
      <c r="CP117" s="243"/>
      <c r="CQ117" s="243"/>
      <c r="CR117" s="243"/>
      <c r="CS117" s="243"/>
      <c r="CT117" s="243"/>
      <c r="CU117" s="243"/>
      <c r="CV117" s="243"/>
      <c r="CW117" s="243"/>
      <c r="CX117" s="243"/>
      <c r="CY117" s="243"/>
      <c r="CZ117" s="243"/>
      <c r="DA117" s="243"/>
      <c r="DB117" s="243"/>
      <c r="DC117" s="243"/>
      <c r="DD117" s="243"/>
      <c r="DE117" s="243"/>
      <c r="DF117" s="243"/>
      <c r="DG117" s="243"/>
      <c r="DH117" s="243"/>
      <c r="DI117" s="243"/>
      <c r="DJ117" s="243"/>
      <c r="DK117" s="243"/>
      <c r="DL117" s="243"/>
      <c r="DM117" s="243"/>
      <c r="DN117" s="243"/>
      <c r="DO117" s="243"/>
      <c r="DP117" s="243"/>
      <c r="DQ117" s="243"/>
      <c r="DR117" s="243"/>
      <c r="DS117" s="243"/>
      <c r="DT117" s="243"/>
      <c r="DU117" s="243"/>
      <c r="DV117" s="243"/>
      <c r="DW117" s="243"/>
      <c r="DX117" s="243"/>
      <c r="DY117" s="243"/>
      <c r="DZ117" s="243"/>
      <c r="EA117" s="243"/>
      <c r="EB117" s="243"/>
      <c r="EC117" s="243"/>
      <c r="ED117" s="243"/>
      <c r="EE117" s="243"/>
      <c r="EF117" s="243"/>
      <c r="EG117" s="243"/>
      <c r="EH117" s="243"/>
      <c r="EI117" s="243"/>
      <c r="EJ117" s="243"/>
      <c r="EK117" s="243"/>
      <c r="EL117" s="243"/>
      <c r="EM117" s="243"/>
      <c r="EN117" s="243"/>
      <c r="EO117" s="243"/>
      <c r="EP117" s="243"/>
      <c r="EQ117" s="243"/>
      <c r="ER117" s="243"/>
      <c r="ES117" s="243"/>
      <c r="ET117" s="243"/>
      <c r="EU117" s="243"/>
      <c r="EV117" s="243"/>
      <c r="EW117" s="243"/>
      <c r="EX117" s="243"/>
      <c r="EY117" s="243"/>
      <c r="EZ117" s="243"/>
      <c r="FA117" s="243"/>
      <c r="FB117" s="243"/>
      <c r="FC117" s="243"/>
      <c r="FD117" s="243"/>
      <c r="FE117" s="243"/>
      <c r="FF117" s="243"/>
      <c r="FG117" s="243"/>
      <c r="FH117" s="243"/>
      <c r="FI117" s="243"/>
      <c r="FJ117" s="243"/>
      <c r="FK117" s="243"/>
      <c r="FL117" s="243"/>
      <c r="FM117" s="243"/>
      <c r="FN117" s="243"/>
      <c r="FO117" s="243"/>
      <c r="FP117" s="243"/>
      <c r="FQ117" s="243"/>
      <c r="FR117" s="243"/>
      <c r="FS117" s="243"/>
      <c r="FT117" s="243"/>
      <c r="FU117" s="243"/>
      <c r="FV117" s="243"/>
      <c r="FW117" s="243"/>
      <c r="FX117" s="243"/>
      <c r="FY117" s="243"/>
      <c r="FZ117" s="243"/>
      <c r="GA117" s="243"/>
      <c r="GB117" s="243"/>
      <c r="GC117" s="243"/>
      <c r="GD117" s="243"/>
      <c r="GE117" s="243"/>
      <c r="GF117" s="243"/>
      <c r="GG117" s="243"/>
      <c r="GH117" s="243"/>
      <c r="GI117" s="243"/>
      <c r="GJ117" s="243"/>
      <c r="GK117" s="243"/>
      <c r="GL117" s="243"/>
      <c r="GM117" s="243"/>
      <c r="GN117" s="243"/>
      <c r="GO117" s="243"/>
      <c r="GP117" s="243"/>
      <c r="GQ117" s="243"/>
      <c r="GR117" s="243"/>
      <c r="GS117" s="243"/>
      <c r="GT117" s="243"/>
      <c r="GU117" s="243"/>
      <c r="GV117" s="243"/>
      <c r="GW117" s="243"/>
      <c r="GX117" s="243"/>
      <c r="GY117" s="243"/>
      <c r="GZ117" s="243"/>
      <c r="HA117" s="243"/>
      <c r="HB117" s="243"/>
      <c r="HC117" s="243"/>
      <c r="HD117" s="243"/>
      <c r="HE117" s="243"/>
      <c r="HF117" s="243"/>
      <c r="HG117" s="243"/>
      <c r="HH117" s="243"/>
      <c r="HI117" s="243"/>
      <c r="HJ117" s="243"/>
      <c r="HK117" s="243"/>
      <c r="HL117" s="243"/>
      <c r="HM117" s="243"/>
      <c r="HN117" s="243"/>
      <c r="HO117" s="243"/>
      <c r="HP117" s="243"/>
      <c r="HQ117" s="243"/>
      <c r="HR117" s="243"/>
      <c r="HS117" s="243"/>
      <c r="HT117" s="243"/>
      <c r="HU117" s="243"/>
      <c r="HV117" s="243"/>
      <c r="HW117" s="243"/>
      <c r="HX117" s="243"/>
      <c r="HY117" s="243"/>
      <c r="HZ117" s="243"/>
      <c r="IA117" s="243"/>
    </row>
    <row r="118" spans="1:235" s="244" customFormat="1" ht="14.25" customHeight="1" x14ac:dyDescent="0.25">
      <c r="A118" s="241">
        <v>5</v>
      </c>
      <c r="B118" s="242"/>
      <c r="C118" s="366" t="s">
        <v>337</v>
      </c>
      <c r="D118" s="364" t="s">
        <v>110</v>
      </c>
      <c r="E118" s="365">
        <v>111.9</v>
      </c>
      <c r="F118" s="63"/>
      <c r="G118" s="64"/>
      <c r="H118" s="65"/>
      <c r="I118" s="64"/>
      <c r="J118" s="64"/>
      <c r="K118" s="66"/>
      <c r="L118" s="67"/>
      <c r="M118" s="64"/>
      <c r="N118" s="64"/>
      <c r="O118" s="64"/>
      <c r="P118" s="68"/>
      <c r="Q118" s="69"/>
      <c r="R118" s="137"/>
      <c r="S118" s="69"/>
      <c r="T118" s="243"/>
      <c r="U118" s="243"/>
      <c r="V118" s="243"/>
      <c r="W118" s="243"/>
      <c r="X118" s="243"/>
      <c r="Y118" s="243"/>
      <c r="Z118" s="243"/>
      <c r="AA118" s="243"/>
      <c r="AB118" s="243"/>
      <c r="AC118" s="243"/>
      <c r="AD118" s="243"/>
      <c r="AE118" s="243"/>
      <c r="AF118" s="243"/>
      <c r="AG118" s="243"/>
      <c r="AH118" s="243"/>
      <c r="AI118" s="243"/>
      <c r="AJ118" s="243"/>
      <c r="AK118" s="243"/>
      <c r="AL118" s="243"/>
      <c r="AM118" s="243"/>
      <c r="AN118" s="243"/>
      <c r="AO118" s="243"/>
      <c r="AP118" s="243"/>
      <c r="AQ118" s="243"/>
      <c r="AR118" s="243"/>
      <c r="AS118" s="243"/>
      <c r="AT118" s="243"/>
      <c r="AU118" s="243"/>
      <c r="AV118" s="243"/>
      <c r="AW118" s="243"/>
      <c r="AX118" s="243"/>
      <c r="AY118" s="243"/>
      <c r="AZ118" s="243"/>
      <c r="BA118" s="243"/>
      <c r="BB118" s="243"/>
      <c r="BC118" s="243"/>
      <c r="BD118" s="243"/>
      <c r="BE118" s="243"/>
      <c r="BF118" s="243"/>
      <c r="BG118" s="243"/>
      <c r="BH118" s="243"/>
      <c r="BI118" s="243"/>
      <c r="BJ118" s="243"/>
      <c r="BK118" s="243"/>
      <c r="BL118" s="243"/>
      <c r="BM118" s="243"/>
      <c r="BN118" s="243"/>
      <c r="BO118" s="243"/>
      <c r="BP118" s="243"/>
      <c r="BQ118" s="243"/>
      <c r="BR118" s="243"/>
      <c r="BS118" s="243"/>
      <c r="BT118" s="243"/>
      <c r="BU118" s="243"/>
      <c r="BV118" s="243"/>
      <c r="BW118" s="243"/>
      <c r="BX118" s="243"/>
      <c r="BY118" s="243"/>
      <c r="BZ118" s="243"/>
      <c r="CA118" s="243"/>
      <c r="CB118" s="243"/>
      <c r="CC118" s="243"/>
      <c r="CD118" s="243"/>
      <c r="CE118" s="243"/>
      <c r="CF118" s="243"/>
      <c r="CG118" s="243"/>
      <c r="CH118" s="243"/>
      <c r="CI118" s="243"/>
      <c r="CJ118" s="243"/>
      <c r="CK118" s="243"/>
      <c r="CL118" s="243"/>
      <c r="CM118" s="243"/>
      <c r="CN118" s="243"/>
      <c r="CO118" s="243"/>
      <c r="CP118" s="243"/>
      <c r="CQ118" s="243"/>
      <c r="CR118" s="243"/>
      <c r="CS118" s="243"/>
      <c r="CT118" s="243"/>
      <c r="CU118" s="243"/>
      <c r="CV118" s="243"/>
      <c r="CW118" s="243"/>
      <c r="CX118" s="243"/>
      <c r="CY118" s="243"/>
      <c r="CZ118" s="243"/>
      <c r="DA118" s="243"/>
      <c r="DB118" s="243"/>
      <c r="DC118" s="243"/>
      <c r="DD118" s="243"/>
      <c r="DE118" s="243"/>
      <c r="DF118" s="243"/>
      <c r="DG118" s="243"/>
      <c r="DH118" s="243"/>
      <c r="DI118" s="243"/>
      <c r="DJ118" s="243"/>
      <c r="DK118" s="243"/>
      <c r="DL118" s="243"/>
      <c r="DM118" s="243"/>
      <c r="DN118" s="243"/>
      <c r="DO118" s="243"/>
      <c r="DP118" s="243"/>
      <c r="DQ118" s="243"/>
      <c r="DR118" s="243"/>
      <c r="DS118" s="243"/>
      <c r="DT118" s="243"/>
      <c r="DU118" s="243"/>
      <c r="DV118" s="243"/>
      <c r="DW118" s="243"/>
      <c r="DX118" s="243"/>
      <c r="DY118" s="243"/>
      <c r="DZ118" s="243"/>
      <c r="EA118" s="243"/>
      <c r="EB118" s="243"/>
      <c r="EC118" s="243"/>
      <c r="ED118" s="243"/>
      <c r="EE118" s="243"/>
      <c r="EF118" s="243"/>
      <c r="EG118" s="243"/>
      <c r="EH118" s="243"/>
      <c r="EI118" s="243"/>
      <c r="EJ118" s="243"/>
      <c r="EK118" s="243"/>
      <c r="EL118" s="243"/>
      <c r="EM118" s="243"/>
      <c r="EN118" s="243"/>
      <c r="EO118" s="243"/>
      <c r="EP118" s="243"/>
      <c r="EQ118" s="243"/>
      <c r="ER118" s="243"/>
      <c r="ES118" s="243"/>
      <c r="ET118" s="243"/>
      <c r="EU118" s="243"/>
      <c r="EV118" s="243"/>
      <c r="EW118" s="243"/>
      <c r="EX118" s="243"/>
      <c r="EY118" s="243"/>
      <c r="EZ118" s="243"/>
      <c r="FA118" s="243"/>
      <c r="FB118" s="243"/>
      <c r="FC118" s="243"/>
      <c r="FD118" s="243"/>
      <c r="FE118" s="243"/>
      <c r="FF118" s="243"/>
      <c r="FG118" s="243"/>
      <c r="FH118" s="243"/>
      <c r="FI118" s="243"/>
      <c r="FJ118" s="243"/>
      <c r="FK118" s="243"/>
      <c r="FL118" s="243"/>
      <c r="FM118" s="243"/>
      <c r="FN118" s="243"/>
      <c r="FO118" s="243"/>
      <c r="FP118" s="243"/>
      <c r="FQ118" s="243"/>
      <c r="FR118" s="243"/>
      <c r="FS118" s="243"/>
      <c r="FT118" s="243"/>
      <c r="FU118" s="243"/>
      <c r="FV118" s="243"/>
      <c r="FW118" s="243"/>
      <c r="FX118" s="243"/>
      <c r="FY118" s="243"/>
      <c r="FZ118" s="243"/>
      <c r="GA118" s="243"/>
      <c r="GB118" s="243"/>
      <c r="GC118" s="243"/>
      <c r="GD118" s="243"/>
      <c r="GE118" s="243"/>
      <c r="GF118" s="243"/>
      <c r="GG118" s="243"/>
      <c r="GH118" s="243"/>
      <c r="GI118" s="243"/>
      <c r="GJ118" s="243"/>
      <c r="GK118" s="243"/>
      <c r="GL118" s="243"/>
      <c r="GM118" s="243"/>
      <c r="GN118" s="243"/>
      <c r="GO118" s="243"/>
      <c r="GP118" s="243"/>
      <c r="GQ118" s="243"/>
      <c r="GR118" s="243"/>
      <c r="GS118" s="243"/>
      <c r="GT118" s="243"/>
      <c r="GU118" s="243"/>
      <c r="GV118" s="243"/>
      <c r="GW118" s="243"/>
      <c r="GX118" s="243"/>
      <c r="GY118" s="243"/>
      <c r="GZ118" s="243"/>
      <c r="HA118" s="243"/>
      <c r="HB118" s="243"/>
      <c r="HC118" s="243"/>
      <c r="HD118" s="243"/>
      <c r="HE118" s="243"/>
      <c r="HF118" s="243"/>
      <c r="HG118" s="243"/>
      <c r="HH118" s="243"/>
      <c r="HI118" s="243"/>
      <c r="HJ118" s="243"/>
      <c r="HK118" s="243"/>
      <c r="HL118" s="243"/>
      <c r="HM118" s="243"/>
      <c r="HN118" s="243"/>
      <c r="HO118" s="243"/>
      <c r="HP118" s="243"/>
      <c r="HQ118" s="243"/>
      <c r="HR118" s="243"/>
      <c r="HS118" s="243"/>
      <c r="HT118" s="243"/>
      <c r="HU118" s="243"/>
      <c r="HV118" s="243"/>
      <c r="HW118" s="243"/>
      <c r="HX118" s="243"/>
      <c r="HY118" s="243"/>
      <c r="HZ118" s="243"/>
      <c r="IA118" s="243"/>
    </row>
    <row r="119" spans="1:235" s="244" customFormat="1" ht="14.25" customHeight="1" x14ac:dyDescent="0.25">
      <c r="A119" s="241">
        <v>6</v>
      </c>
      <c r="B119" s="242"/>
      <c r="C119" s="366" t="s">
        <v>338</v>
      </c>
      <c r="D119" s="364" t="s">
        <v>112</v>
      </c>
      <c r="E119" s="365">
        <v>1</v>
      </c>
      <c r="F119" s="63"/>
      <c r="G119" s="64"/>
      <c r="H119" s="65"/>
      <c r="I119" s="64"/>
      <c r="J119" s="64"/>
      <c r="K119" s="66"/>
      <c r="L119" s="67"/>
      <c r="M119" s="64"/>
      <c r="N119" s="64"/>
      <c r="O119" s="64"/>
      <c r="P119" s="68"/>
      <c r="Q119" s="69"/>
      <c r="R119" s="137"/>
      <c r="S119" s="69"/>
      <c r="T119" s="243"/>
      <c r="U119" s="243"/>
      <c r="V119" s="243"/>
      <c r="W119" s="243"/>
      <c r="X119" s="243"/>
      <c r="Y119" s="243"/>
      <c r="Z119" s="243"/>
      <c r="AA119" s="243"/>
      <c r="AB119" s="243"/>
      <c r="AC119" s="243"/>
      <c r="AD119" s="243"/>
      <c r="AE119" s="243"/>
      <c r="AF119" s="243"/>
      <c r="AG119" s="243"/>
      <c r="AH119" s="243"/>
      <c r="AI119" s="243"/>
      <c r="AJ119" s="243"/>
      <c r="AK119" s="243"/>
      <c r="AL119" s="243"/>
      <c r="AM119" s="243"/>
      <c r="AN119" s="243"/>
      <c r="AO119" s="243"/>
      <c r="AP119" s="243"/>
      <c r="AQ119" s="243"/>
      <c r="AR119" s="243"/>
      <c r="AS119" s="243"/>
      <c r="AT119" s="243"/>
      <c r="AU119" s="243"/>
      <c r="AV119" s="243"/>
      <c r="AW119" s="243"/>
      <c r="AX119" s="243"/>
      <c r="AY119" s="243"/>
      <c r="AZ119" s="243"/>
      <c r="BA119" s="243"/>
      <c r="BB119" s="243"/>
      <c r="BC119" s="243"/>
      <c r="BD119" s="243"/>
      <c r="BE119" s="243"/>
      <c r="BF119" s="243"/>
      <c r="BG119" s="243"/>
      <c r="BH119" s="243"/>
      <c r="BI119" s="243"/>
      <c r="BJ119" s="243"/>
      <c r="BK119" s="243"/>
      <c r="BL119" s="243"/>
      <c r="BM119" s="243"/>
      <c r="BN119" s="243"/>
      <c r="BO119" s="243"/>
      <c r="BP119" s="243"/>
      <c r="BQ119" s="243"/>
      <c r="BR119" s="243"/>
      <c r="BS119" s="243"/>
      <c r="BT119" s="243"/>
      <c r="BU119" s="243"/>
      <c r="BV119" s="243"/>
      <c r="BW119" s="243"/>
      <c r="BX119" s="243"/>
      <c r="BY119" s="243"/>
      <c r="BZ119" s="243"/>
      <c r="CA119" s="243"/>
      <c r="CB119" s="243"/>
      <c r="CC119" s="243"/>
      <c r="CD119" s="243"/>
      <c r="CE119" s="243"/>
      <c r="CF119" s="243"/>
      <c r="CG119" s="243"/>
      <c r="CH119" s="243"/>
      <c r="CI119" s="243"/>
      <c r="CJ119" s="243"/>
      <c r="CK119" s="243"/>
      <c r="CL119" s="243"/>
      <c r="CM119" s="243"/>
      <c r="CN119" s="243"/>
      <c r="CO119" s="243"/>
      <c r="CP119" s="243"/>
      <c r="CQ119" s="243"/>
      <c r="CR119" s="243"/>
      <c r="CS119" s="243"/>
      <c r="CT119" s="243"/>
      <c r="CU119" s="243"/>
      <c r="CV119" s="243"/>
      <c r="CW119" s="243"/>
      <c r="CX119" s="243"/>
      <c r="CY119" s="243"/>
      <c r="CZ119" s="243"/>
      <c r="DA119" s="243"/>
      <c r="DB119" s="243"/>
      <c r="DC119" s="243"/>
      <c r="DD119" s="243"/>
      <c r="DE119" s="243"/>
      <c r="DF119" s="243"/>
      <c r="DG119" s="243"/>
      <c r="DH119" s="243"/>
      <c r="DI119" s="243"/>
      <c r="DJ119" s="243"/>
      <c r="DK119" s="243"/>
      <c r="DL119" s="243"/>
      <c r="DM119" s="243"/>
      <c r="DN119" s="243"/>
      <c r="DO119" s="243"/>
      <c r="DP119" s="243"/>
      <c r="DQ119" s="243"/>
      <c r="DR119" s="243"/>
      <c r="DS119" s="243"/>
      <c r="DT119" s="243"/>
      <c r="DU119" s="243"/>
      <c r="DV119" s="243"/>
      <c r="DW119" s="243"/>
      <c r="DX119" s="243"/>
      <c r="DY119" s="243"/>
      <c r="DZ119" s="243"/>
      <c r="EA119" s="243"/>
      <c r="EB119" s="243"/>
      <c r="EC119" s="243"/>
      <c r="ED119" s="243"/>
      <c r="EE119" s="243"/>
      <c r="EF119" s="243"/>
      <c r="EG119" s="243"/>
      <c r="EH119" s="243"/>
      <c r="EI119" s="243"/>
      <c r="EJ119" s="243"/>
      <c r="EK119" s="243"/>
      <c r="EL119" s="243"/>
      <c r="EM119" s="243"/>
      <c r="EN119" s="243"/>
      <c r="EO119" s="243"/>
      <c r="EP119" s="243"/>
      <c r="EQ119" s="243"/>
      <c r="ER119" s="243"/>
      <c r="ES119" s="243"/>
      <c r="ET119" s="243"/>
      <c r="EU119" s="243"/>
      <c r="EV119" s="243"/>
      <c r="EW119" s="243"/>
      <c r="EX119" s="243"/>
      <c r="EY119" s="243"/>
      <c r="EZ119" s="243"/>
      <c r="FA119" s="243"/>
      <c r="FB119" s="243"/>
      <c r="FC119" s="243"/>
      <c r="FD119" s="243"/>
      <c r="FE119" s="243"/>
      <c r="FF119" s="243"/>
      <c r="FG119" s="243"/>
      <c r="FH119" s="243"/>
      <c r="FI119" s="243"/>
      <c r="FJ119" s="243"/>
      <c r="FK119" s="243"/>
      <c r="FL119" s="243"/>
      <c r="FM119" s="243"/>
      <c r="FN119" s="243"/>
      <c r="FO119" s="243"/>
      <c r="FP119" s="243"/>
      <c r="FQ119" s="243"/>
      <c r="FR119" s="243"/>
      <c r="FS119" s="243"/>
      <c r="FT119" s="243"/>
      <c r="FU119" s="243"/>
      <c r="FV119" s="243"/>
      <c r="FW119" s="243"/>
      <c r="FX119" s="243"/>
      <c r="FY119" s="243"/>
      <c r="FZ119" s="243"/>
      <c r="GA119" s="243"/>
      <c r="GB119" s="243"/>
      <c r="GC119" s="243"/>
      <c r="GD119" s="243"/>
      <c r="GE119" s="243"/>
      <c r="GF119" s="243"/>
      <c r="GG119" s="243"/>
      <c r="GH119" s="243"/>
      <c r="GI119" s="243"/>
      <c r="GJ119" s="243"/>
      <c r="GK119" s="243"/>
      <c r="GL119" s="243"/>
      <c r="GM119" s="243"/>
      <c r="GN119" s="243"/>
      <c r="GO119" s="243"/>
      <c r="GP119" s="243"/>
      <c r="GQ119" s="243"/>
      <c r="GR119" s="243"/>
      <c r="GS119" s="243"/>
      <c r="GT119" s="243"/>
      <c r="GU119" s="243"/>
      <c r="GV119" s="243"/>
      <c r="GW119" s="243"/>
      <c r="GX119" s="243"/>
      <c r="GY119" s="243"/>
      <c r="GZ119" s="243"/>
      <c r="HA119" s="243"/>
      <c r="HB119" s="243"/>
      <c r="HC119" s="243"/>
      <c r="HD119" s="243"/>
      <c r="HE119" s="243"/>
      <c r="HF119" s="243"/>
      <c r="HG119" s="243"/>
      <c r="HH119" s="243"/>
      <c r="HI119" s="243"/>
      <c r="HJ119" s="243"/>
      <c r="HK119" s="243"/>
      <c r="HL119" s="243"/>
      <c r="HM119" s="243"/>
      <c r="HN119" s="243"/>
      <c r="HO119" s="243"/>
      <c r="HP119" s="243"/>
      <c r="HQ119" s="243"/>
      <c r="HR119" s="243"/>
      <c r="HS119" s="243"/>
      <c r="HT119" s="243"/>
      <c r="HU119" s="243"/>
      <c r="HV119" s="243"/>
      <c r="HW119" s="243"/>
      <c r="HX119" s="243"/>
      <c r="HY119" s="243"/>
      <c r="HZ119" s="243"/>
      <c r="IA119" s="243"/>
    </row>
    <row r="120" spans="1:235" s="244" customFormat="1" ht="14.25" customHeight="1" x14ac:dyDescent="0.25">
      <c r="A120" s="241">
        <v>7</v>
      </c>
      <c r="B120" s="242"/>
      <c r="C120" s="366" t="s">
        <v>176</v>
      </c>
      <c r="D120" s="364" t="s">
        <v>177</v>
      </c>
      <c r="E120" s="365">
        <f>E114*0.17</f>
        <v>5.6779999999999999</v>
      </c>
      <c r="F120" s="63"/>
      <c r="G120" s="64"/>
      <c r="H120" s="65"/>
      <c r="I120" s="64"/>
      <c r="J120" s="64"/>
      <c r="K120" s="66"/>
      <c r="L120" s="67"/>
      <c r="M120" s="64"/>
      <c r="N120" s="64"/>
      <c r="O120" s="64"/>
      <c r="P120" s="68"/>
      <c r="Q120" s="69"/>
      <c r="R120" s="137"/>
      <c r="S120" s="69"/>
      <c r="T120" s="243"/>
      <c r="U120" s="243"/>
      <c r="V120" s="243"/>
      <c r="W120" s="243"/>
      <c r="X120" s="243"/>
      <c r="Y120" s="243"/>
      <c r="Z120" s="243"/>
      <c r="AA120" s="243"/>
      <c r="AB120" s="243"/>
      <c r="AC120" s="243"/>
      <c r="AD120" s="243"/>
      <c r="AE120" s="243"/>
      <c r="AF120" s="243"/>
      <c r="AG120" s="243"/>
      <c r="AH120" s="243"/>
      <c r="AI120" s="243"/>
      <c r="AJ120" s="243"/>
      <c r="AK120" s="243"/>
      <c r="AL120" s="243"/>
      <c r="AM120" s="243"/>
      <c r="AN120" s="243"/>
      <c r="AO120" s="243"/>
      <c r="AP120" s="243"/>
      <c r="AQ120" s="243"/>
      <c r="AR120" s="243"/>
      <c r="AS120" s="243"/>
      <c r="AT120" s="243"/>
      <c r="AU120" s="243"/>
      <c r="AV120" s="243"/>
      <c r="AW120" s="243"/>
      <c r="AX120" s="243"/>
      <c r="AY120" s="243"/>
      <c r="AZ120" s="243"/>
      <c r="BA120" s="243"/>
      <c r="BB120" s="243"/>
      <c r="BC120" s="243"/>
      <c r="BD120" s="243"/>
      <c r="BE120" s="243"/>
      <c r="BF120" s="243"/>
      <c r="BG120" s="243"/>
      <c r="BH120" s="243"/>
      <c r="BI120" s="243"/>
      <c r="BJ120" s="243"/>
      <c r="BK120" s="243"/>
      <c r="BL120" s="243"/>
      <c r="BM120" s="243"/>
      <c r="BN120" s="243"/>
      <c r="BO120" s="243"/>
      <c r="BP120" s="243"/>
      <c r="BQ120" s="243"/>
      <c r="BR120" s="243"/>
      <c r="BS120" s="243"/>
      <c r="BT120" s="243"/>
      <c r="BU120" s="243"/>
      <c r="BV120" s="243"/>
      <c r="BW120" s="243"/>
      <c r="BX120" s="243"/>
      <c r="BY120" s="243"/>
      <c r="BZ120" s="243"/>
      <c r="CA120" s="243"/>
      <c r="CB120" s="243"/>
      <c r="CC120" s="243"/>
      <c r="CD120" s="243"/>
      <c r="CE120" s="243"/>
      <c r="CF120" s="243"/>
      <c r="CG120" s="243"/>
      <c r="CH120" s="243"/>
      <c r="CI120" s="243"/>
      <c r="CJ120" s="243"/>
      <c r="CK120" s="243"/>
      <c r="CL120" s="243"/>
      <c r="CM120" s="243"/>
      <c r="CN120" s="243"/>
      <c r="CO120" s="243"/>
      <c r="CP120" s="243"/>
      <c r="CQ120" s="243"/>
      <c r="CR120" s="243"/>
      <c r="CS120" s="243"/>
      <c r="CT120" s="243"/>
      <c r="CU120" s="243"/>
      <c r="CV120" s="243"/>
      <c r="CW120" s="243"/>
      <c r="CX120" s="243"/>
      <c r="CY120" s="243"/>
      <c r="CZ120" s="243"/>
      <c r="DA120" s="243"/>
      <c r="DB120" s="243"/>
      <c r="DC120" s="243"/>
      <c r="DD120" s="243"/>
      <c r="DE120" s="243"/>
      <c r="DF120" s="243"/>
      <c r="DG120" s="243"/>
      <c r="DH120" s="243"/>
      <c r="DI120" s="243"/>
      <c r="DJ120" s="243"/>
      <c r="DK120" s="243"/>
      <c r="DL120" s="243"/>
      <c r="DM120" s="243"/>
      <c r="DN120" s="243"/>
      <c r="DO120" s="243"/>
      <c r="DP120" s="243"/>
      <c r="DQ120" s="243"/>
      <c r="DR120" s="243"/>
      <c r="DS120" s="243"/>
      <c r="DT120" s="243"/>
      <c r="DU120" s="243"/>
      <c r="DV120" s="243"/>
      <c r="DW120" s="243"/>
      <c r="DX120" s="243"/>
      <c r="DY120" s="243"/>
      <c r="DZ120" s="243"/>
      <c r="EA120" s="243"/>
      <c r="EB120" s="243"/>
      <c r="EC120" s="243"/>
      <c r="ED120" s="243"/>
      <c r="EE120" s="243"/>
      <c r="EF120" s="243"/>
      <c r="EG120" s="243"/>
      <c r="EH120" s="243"/>
      <c r="EI120" s="243"/>
      <c r="EJ120" s="243"/>
      <c r="EK120" s="243"/>
      <c r="EL120" s="243"/>
      <c r="EM120" s="243"/>
      <c r="EN120" s="243"/>
      <c r="EO120" s="243"/>
      <c r="EP120" s="243"/>
      <c r="EQ120" s="243"/>
      <c r="ER120" s="243"/>
      <c r="ES120" s="243"/>
      <c r="ET120" s="243"/>
      <c r="EU120" s="243"/>
      <c r="EV120" s="243"/>
      <c r="EW120" s="243"/>
      <c r="EX120" s="243"/>
      <c r="EY120" s="243"/>
      <c r="EZ120" s="243"/>
      <c r="FA120" s="243"/>
      <c r="FB120" s="243"/>
      <c r="FC120" s="243"/>
      <c r="FD120" s="243"/>
      <c r="FE120" s="243"/>
      <c r="FF120" s="243"/>
      <c r="FG120" s="243"/>
      <c r="FH120" s="243"/>
      <c r="FI120" s="243"/>
      <c r="FJ120" s="243"/>
      <c r="FK120" s="243"/>
      <c r="FL120" s="243"/>
      <c r="FM120" s="243"/>
      <c r="FN120" s="243"/>
      <c r="FO120" s="243"/>
      <c r="FP120" s="243"/>
      <c r="FQ120" s="243"/>
      <c r="FR120" s="243"/>
      <c r="FS120" s="243"/>
      <c r="FT120" s="243"/>
      <c r="FU120" s="243"/>
      <c r="FV120" s="243"/>
      <c r="FW120" s="243"/>
      <c r="FX120" s="243"/>
      <c r="FY120" s="243"/>
      <c r="FZ120" s="243"/>
      <c r="GA120" s="243"/>
      <c r="GB120" s="243"/>
      <c r="GC120" s="243"/>
      <c r="GD120" s="243"/>
      <c r="GE120" s="243"/>
      <c r="GF120" s="243"/>
      <c r="GG120" s="243"/>
      <c r="GH120" s="243"/>
      <c r="GI120" s="243"/>
      <c r="GJ120" s="243"/>
      <c r="GK120" s="243"/>
      <c r="GL120" s="243"/>
      <c r="GM120" s="243"/>
      <c r="GN120" s="243"/>
      <c r="GO120" s="243"/>
      <c r="GP120" s="243"/>
      <c r="GQ120" s="243"/>
      <c r="GR120" s="243"/>
      <c r="GS120" s="243"/>
      <c r="GT120" s="243"/>
      <c r="GU120" s="243"/>
      <c r="GV120" s="243"/>
      <c r="GW120" s="243"/>
      <c r="GX120" s="243"/>
      <c r="GY120" s="243"/>
      <c r="GZ120" s="243"/>
      <c r="HA120" s="243"/>
      <c r="HB120" s="243"/>
      <c r="HC120" s="243"/>
      <c r="HD120" s="243"/>
      <c r="HE120" s="243"/>
      <c r="HF120" s="243"/>
      <c r="HG120" s="243"/>
      <c r="HH120" s="243"/>
      <c r="HI120" s="243"/>
      <c r="HJ120" s="243"/>
      <c r="HK120" s="243"/>
      <c r="HL120" s="243"/>
      <c r="HM120" s="243"/>
      <c r="HN120" s="243"/>
      <c r="HO120" s="243"/>
      <c r="HP120" s="243"/>
      <c r="HQ120" s="243"/>
      <c r="HR120" s="243"/>
      <c r="HS120" s="243"/>
      <c r="HT120" s="243"/>
      <c r="HU120" s="243"/>
      <c r="HV120" s="243"/>
      <c r="HW120" s="243"/>
      <c r="HX120" s="243"/>
      <c r="HY120" s="243"/>
      <c r="HZ120" s="243"/>
      <c r="IA120" s="243"/>
    </row>
    <row r="121" spans="1:235" s="244" customFormat="1" ht="14.25" customHeight="1" x14ac:dyDescent="0.25">
      <c r="A121" s="241">
        <v>8</v>
      </c>
      <c r="B121" s="242"/>
      <c r="C121" s="366" t="s">
        <v>319</v>
      </c>
      <c r="D121" s="364" t="s">
        <v>180</v>
      </c>
      <c r="E121" s="365">
        <f>E114*1.5*1.2</f>
        <v>60.11999999999999</v>
      </c>
      <c r="F121" s="63"/>
      <c r="G121" s="64"/>
      <c r="H121" s="65"/>
      <c r="I121" s="64"/>
      <c r="J121" s="64"/>
      <c r="K121" s="66"/>
      <c r="L121" s="67"/>
      <c r="M121" s="64"/>
      <c r="N121" s="64"/>
      <c r="O121" s="64"/>
      <c r="P121" s="68"/>
      <c r="Q121" s="69"/>
      <c r="R121" s="137"/>
      <c r="S121" s="69"/>
      <c r="T121" s="243"/>
      <c r="U121" s="243"/>
      <c r="V121" s="243"/>
      <c r="W121" s="243"/>
      <c r="X121" s="243"/>
      <c r="Y121" s="243"/>
      <c r="Z121" s="243"/>
      <c r="AA121" s="243"/>
      <c r="AB121" s="243"/>
      <c r="AC121" s="243"/>
      <c r="AD121" s="243"/>
      <c r="AE121" s="243"/>
      <c r="AF121" s="243"/>
      <c r="AG121" s="243"/>
      <c r="AH121" s="243"/>
      <c r="AI121" s="243"/>
      <c r="AJ121" s="243"/>
      <c r="AK121" s="243"/>
      <c r="AL121" s="243"/>
      <c r="AM121" s="243"/>
      <c r="AN121" s="243"/>
      <c r="AO121" s="243"/>
      <c r="AP121" s="243"/>
      <c r="AQ121" s="243"/>
      <c r="AR121" s="243"/>
      <c r="AS121" s="243"/>
      <c r="AT121" s="243"/>
      <c r="AU121" s="243"/>
      <c r="AV121" s="243"/>
      <c r="AW121" s="243"/>
      <c r="AX121" s="243"/>
      <c r="AY121" s="243"/>
      <c r="AZ121" s="243"/>
      <c r="BA121" s="243"/>
      <c r="BB121" s="243"/>
      <c r="BC121" s="243"/>
      <c r="BD121" s="243"/>
      <c r="BE121" s="243"/>
      <c r="BF121" s="243"/>
      <c r="BG121" s="243"/>
      <c r="BH121" s="243"/>
      <c r="BI121" s="243"/>
      <c r="BJ121" s="243"/>
      <c r="BK121" s="243"/>
      <c r="BL121" s="243"/>
      <c r="BM121" s="243"/>
      <c r="BN121" s="243"/>
      <c r="BO121" s="243"/>
      <c r="BP121" s="243"/>
      <c r="BQ121" s="243"/>
      <c r="BR121" s="243"/>
      <c r="BS121" s="243"/>
      <c r="BT121" s="243"/>
      <c r="BU121" s="243"/>
      <c r="BV121" s="243"/>
      <c r="BW121" s="243"/>
      <c r="BX121" s="243"/>
      <c r="BY121" s="243"/>
      <c r="BZ121" s="243"/>
      <c r="CA121" s="243"/>
      <c r="CB121" s="243"/>
      <c r="CC121" s="243"/>
      <c r="CD121" s="243"/>
      <c r="CE121" s="243"/>
      <c r="CF121" s="243"/>
      <c r="CG121" s="243"/>
      <c r="CH121" s="243"/>
      <c r="CI121" s="243"/>
      <c r="CJ121" s="243"/>
      <c r="CK121" s="243"/>
      <c r="CL121" s="243"/>
      <c r="CM121" s="243"/>
      <c r="CN121" s="243"/>
      <c r="CO121" s="243"/>
      <c r="CP121" s="243"/>
      <c r="CQ121" s="243"/>
      <c r="CR121" s="243"/>
      <c r="CS121" s="243"/>
      <c r="CT121" s="243"/>
      <c r="CU121" s="243"/>
      <c r="CV121" s="243"/>
      <c r="CW121" s="243"/>
      <c r="CX121" s="243"/>
      <c r="CY121" s="243"/>
      <c r="CZ121" s="243"/>
      <c r="DA121" s="243"/>
      <c r="DB121" s="243"/>
      <c r="DC121" s="243"/>
      <c r="DD121" s="243"/>
      <c r="DE121" s="243"/>
      <c r="DF121" s="243"/>
      <c r="DG121" s="243"/>
      <c r="DH121" s="243"/>
      <c r="DI121" s="243"/>
      <c r="DJ121" s="243"/>
      <c r="DK121" s="243"/>
      <c r="DL121" s="243"/>
      <c r="DM121" s="243"/>
      <c r="DN121" s="243"/>
      <c r="DO121" s="243"/>
      <c r="DP121" s="243"/>
      <c r="DQ121" s="243"/>
      <c r="DR121" s="243"/>
      <c r="DS121" s="243"/>
      <c r="DT121" s="243"/>
      <c r="DU121" s="243"/>
      <c r="DV121" s="243"/>
      <c r="DW121" s="243"/>
      <c r="DX121" s="243"/>
      <c r="DY121" s="243"/>
      <c r="DZ121" s="243"/>
      <c r="EA121" s="243"/>
      <c r="EB121" s="243"/>
      <c r="EC121" s="243"/>
      <c r="ED121" s="243"/>
      <c r="EE121" s="243"/>
      <c r="EF121" s="243"/>
      <c r="EG121" s="243"/>
      <c r="EH121" s="243"/>
      <c r="EI121" s="243"/>
      <c r="EJ121" s="243"/>
      <c r="EK121" s="243"/>
      <c r="EL121" s="243"/>
      <c r="EM121" s="243"/>
      <c r="EN121" s="243"/>
      <c r="EO121" s="243"/>
      <c r="EP121" s="243"/>
      <c r="EQ121" s="243"/>
      <c r="ER121" s="243"/>
      <c r="ES121" s="243"/>
      <c r="ET121" s="243"/>
      <c r="EU121" s="243"/>
      <c r="EV121" s="243"/>
      <c r="EW121" s="243"/>
      <c r="EX121" s="243"/>
      <c r="EY121" s="243"/>
      <c r="EZ121" s="243"/>
      <c r="FA121" s="243"/>
      <c r="FB121" s="243"/>
      <c r="FC121" s="243"/>
      <c r="FD121" s="243"/>
      <c r="FE121" s="243"/>
      <c r="FF121" s="243"/>
      <c r="FG121" s="243"/>
      <c r="FH121" s="243"/>
      <c r="FI121" s="243"/>
      <c r="FJ121" s="243"/>
      <c r="FK121" s="243"/>
      <c r="FL121" s="243"/>
      <c r="FM121" s="243"/>
      <c r="FN121" s="243"/>
      <c r="FO121" s="243"/>
      <c r="FP121" s="243"/>
      <c r="FQ121" s="243"/>
      <c r="FR121" s="243"/>
      <c r="FS121" s="243"/>
      <c r="FT121" s="243"/>
      <c r="FU121" s="243"/>
      <c r="FV121" s="243"/>
      <c r="FW121" s="243"/>
      <c r="FX121" s="243"/>
      <c r="FY121" s="243"/>
      <c r="FZ121" s="243"/>
      <c r="GA121" s="243"/>
      <c r="GB121" s="243"/>
      <c r="GC121" s="243"/>
      <c r="GD121" s="243"/>
      <c r="GE121" s="243"/>
      <c r="GF121" s="243"/>
      <c r="GG121" s="243"/>
      <c r="GH121" s="243"/>
      <c r="GI121" s="243"/>
      <c r="GJ121" s="243"/>
      <c r="GK121" s="243"/>
      <c r="GL121" s="243"/>
      <c r="GM121" s="243"/>
      <c r="GN121" s="243"/>
      <c r="GO121" s="243"/>
      <c r="GP121" s="243"/>
      <c r="GQ121" s="243"/>
      <c r="GR121" s="243"/>
      <c r="GS121" s="243"/>
      <c r="GT121" s="243"/>
      <c r="GU121" s="243"/>
      <c r="GV121" s="243"/>
      <c r="GW121" s="243"/>
      <c r="GX121" s="243"/>
      <c r="GY121" s="243"/>
      <c r="GZ121" s="243"/>
      <c r="HA121" s="243"/>
      <c r="HB121" s="243"/>
      <c r="HC121" s="243"/>
      <c r="HD121" s="243"/>
      <c r="HE121" s="243"/>
      <c r="HF121" s="243"/>
      <c r="HG121" s="243"/>
      <c r="HH121" s="243"/>
      <c r="HI121" s="243"/>
      <c r="HJ121" s="243"/>
      <c r="HK121" s="243"/>
      <c r="HL121" s="243"/>
      <c r="HM121" s="243"/>
      <c r="HN121" s="243"/>
      <c r="HO121" s="243"/>
      <c r="HP121" s="243"/>
      <c r="HQ121" s="243"/>
      <c r="HR121" s="243"/>
      <c r="HS121" s="243"/>
      <c r="HT121" s="243"/>
      <c r="HU121" s="243"/>
      <c r="HV121" s="243"/>
      <c r="HW121" s="243"/>
      <c r="HX121" s="243"/>
      <c r="HY121" s="243"/>
      <c r="HZ121" s="243"/>
      <c r="IA121" s="243"/>
    </row>
    <row r="122" spans="1:235" s="244" customFormat="1" ht="14.25" customHeight="1" x14ac:dyDescent="0.25">
      <c r="A122" s="241">
        <v>9</v>
      </c>
      <c r="B122" s="242"/>
      <c r="C122" s="366" t="s">
        <v>320</v>
      </c>
      <c r="D122" s="364" t="s">
        <v>110</v>
      </c>
      <c r="E122" s="365">
        <f>E114*0.1</f>
        <v>3.34</v>
      </c>
      <c r="F122" s="63"/>
      <c r="G122" s="64"/>
      <c r="H122" s="65"/>
      <c r="I122" s="64"/>
      <c r="J122" s="64"/>
      <c r="K122" s="66"/>
      <c r="L122" s="67"/>
      <c r="M122" s="64"/>
      <c r="N122" s="64"/>
      <c r="O122" s="64"/>
      <c r="P122" s="68"/>
      <c r="Q122" s="69"/>
      <c r="R122" s="137"/>
      <c r="S122" s="69"/>
      <c r="T122" s="243"/>
      <c r="U122" s="243"/>
      <c r="V122" s="243"/>
      <c r="W122" s="243"/>
      <c r="X122" s="243"/>
      <c r="Y122" s="243"/>
      <c r="Z122" s="243"/>
      <c r="AA122" s="243"/>
      <c r="AB122" s="243"/>
      <c r="AC122" s="243"/>
      <c r="AD122" s="243"/>
      <c r="AE122" s="243"/>
      <c r="AF122" s="243"/>
      <c r="AG122" s="243"/>
      <c r="AH122" s="243"/>
      <c r="AI122" s="243"/>
      <c r="AJ122" s="243"/>
      <c r="AK122" s="243"/>
      <c r="AL122" s="243"/>
      <c r="AM122" s="243"/>
      <c r="AN122" s="243"/>
      <c r="AO122" s="243"/>
      <c r="AP122" s="243"/>
      <c r="AQ122" s="243"/>
      <c r="AR122" s="243"/>
      <c r="AS122" s="243"/>
      <c r="AT122" s="243"/>
      <c r="AU122" s="243"/>
      <c r="AV122" s="243"/>
      <c r="AW122" s="243"/>
      <c r="AX122" s="243"/>
      <c r="AY122" s="243"/>
      <c r="AZ122" s="243"/>
      <c r="BA122" s="243"/>
      <c r="BB122" s="243"/>
      <c r="BC122" s="243"/>
      <c r="BD122" s="243"/>
      <c r="BE122" s="243"/>
      <c r="BF122" s="243"/>
      <c r="BG122" s="243"/>
      <c r="BH122" s="243"/>
      <c r="BI122" s="243"/>
      <c r="BJ122" s="243"/>
      <c r="BK122" s="243"/>
      <c r="BL122" s="243"/>
      <c r="BM122" s="243"/>
      <c r="BN122" s="243"/>
      <c r="BO122" s="243"/>
      <c r="BP122" s="243"/>
      <c r="BQ122" s="243"/>
      <c r="BR122" s="243"/>
      <c r="BS122" s="243"/>
      <c r="BT122" s="243"/>
      <c r="BU122" s="243"/>
      <c r="BV122" s="243"/>
      <c r="BW122" s="243"/>
      <c r="BX122" s="243"/>
      <c r="BY122" s="243"/>
      <c r="BZ122" s="243"/>
      <c r="CA122" s="243"/>
      <c r="CB122" s="243"/>
      <c r="CC122" s="243"/>
      <c r="CD122" s="243"/>
      <c r="CE122" s="243"/>
      <c r="CF122" s="243"/>
      <c r="CG122" s="243"/>
      <c r="CH122" s="243"/>
      <c r="CI122" s="243"/>
      <c r="CJ122" s="243"/>
      <c r="CK122" s="243"/>
      <c r="CL122" s="243"/>
      <c r="CM122" s="243"/>
      <c r="CN122" s="243"/>
      <c r="CO122" s="243"/>
      <c r="CP122" s="243"/>
      <c r="CQ122" s="243"/>
      <c r="CR122" s="243"/>
      <c r="CS122" s="243"/>
      <c r="CT122" s="243"/>
      <c r="CU122" s="243"/>
      <c r="CV122" s="243"/>
      <c r="CW122" s="243"/>
      <c r="CX122" s="243"/>
      <c r="CY122" s="243"/>
      <c r="CZ122" s="243"/>
      <c r="DA122" s="243"/>
      <c r="DB122" s="243"/>
      <c r="DC122" s="243"/>
      <c r="DD122" s="243"/>
      <c r="DE122" s="243"/>
      <c r="DF122" s="243"/>
      <c r="DG122" s="243"/>
      <c r="DH122" s="243"/>
      <c r="DI122" s="243"/>
      <c r="DJ122" s="243"/>
      <c r="DK122" s="243"/>
      <c r="DL122" s="243"/>
      <c r="DM122" s="243"/>
      <c r="DN122" s="243"/>
      <c r="DO122" s="243"/>
      <c r="DP122" s="243"/>
      <c r="DQ122" s="243"/>
      <c r="DR122" s="243"/>
      <c r="DS122" s="243"/>
      <c r="DT122" s="243"/>
      <c r="DU122" s="243"/>
      <c r="DV122" s="243"/>
      <c r="DW122" s="243"/>
      <c r="DX122" s="243"/>
      <c r="DY122" s="243"/>
      <c r="DZ122" s="243"/>
      <c r="EA122" s="243"/>
      <c r="EB122" s="243"/>
      <c r="EC122" s="243"/>
      <c r="ED122" s="243"/>
      <c r="EE122" s="243"/>
      <c r="EF122" s="243"/>
      <c r="EG122" s="243"/>
      <c r="EH122" s="243"/>
      <c r="EI122" s="243"/>
      <c r="EJ122" s="243"/>
      <c r="EK122" s="243"/>
      <c r="EL122" s="243"/>
      <c r="EM122" s="243"/>
      <c r="EN122" s="243"/>
      <c r="EO122" s="243"/>
      <c r="EP122" s="243"/>
      <c r="EQ122" s="243"/>
      <c r="ER122" s="243"/>
      <c r="ES122" s="243"/>
      <c r="ET122" s="243"/>
      <c r="EU122" s="243"/>
      <c r="EV122" s="243"/>
      <c r="EW122" s="243"/>
      <c r="EX122" s="243"/>
      <c r="EY122" s="243"/>
      <c r="EZ122" s="243"/>
      <c r="FA122" s="243"/>
      <c r="FB122" s="243"/>
      <c r="FC122" s="243"/>
      <c r="FD122" s="243"/>
      <c r="FE122" s="243"/>
      <c r="FF122" s="243"/>
      <c r="FG122" s="243"/>
      <c r="FH122" s="243"/>
      <c r="FI122" s="243"/>
      <c r="FJ122" s="243"/>
      <c r="FK122" s="243"/>
      <c r="FL122" s="243"/>
      <c r="FM122" s="243"/>
      <c r="FN122" s="243"/>
      <c r="FO122" s="243"/>
      <c r="FP122" s="243"/>
      <c r="FQ122" s="243"/>
      <c r="FR122" s="243"/>
      <c r="FS122" s="243"/>
      <c r="FT122" s="243"/>
      <c r="FU122" s="243"/>
      <c r="FV122" s="243"/>
      <c r="FW122" s="243"/>
      <c r="FX122" s="243"/>
      <c r="FY122" s="243"/>
      <c r="FZ122" s="243"/>
      <c r="GA122" s="243"/>
      <c r="GB122" s="243"/>
      <c r="GC122" s="243"/>
      <c r="GD122" s="243"/>
      <c r="GE122" s="243"/>
      <c r="GF122" s="243"/>
      <c r="GG122" s="243"/>
      <c r="GH122" s="243"/>
      <c r="GI122" s="243"/>
      <c r="GJ122" s="243"/>
      <c r="GK122" s="243"/>
      <c r="GL122" s="243"/>
      <c r="GM122" s="243"/>
      <c r="GN122" s="243"/>
      <c r="GO122" s="243"/>
      <c r="GP122" s="243"/>
      <c r="GQ122" s="243"/>
      <c r="GR122" s="243"/>
      <c r="GS122" s="243"/>
      <c r="GT122" s="243"/>
      <c r="GU122" s="243"/>
      <c r="GV122" s="243"/>
      <c r="GW122" s="243"/>
      <c r="GX122" s="243"/>
      <c r="GY122" s="243"/>
      <c r="GZ122" s="243"/>
      <c r="HA122" s="243"/>
      <c r="HB122" s="243"/>
      <c r="HC122" s="243"/>
      <c r="HD122" s="243"/>
      <c r="HE122" s="243"/>
      <c r="HF122" s="243"/>
      <c r="HG122" s="243"/>
      <c r="HH122" s="243"/>
      <c r="HI122" s="243"/>
      <c r="HJ122" s="243"/>
      <c r="HK122" s="243"/>
      <c r="HL122" s="243"/>
      <c r="HM122" s="243"/>
      <c r="HN122" s="243"/>
      <c r="HO122" s="243"/>
      <c r="HP122" s="243"/>
      <c r="HQ122" s="243"/>
      <c r="HR122" s="243"/>
      <c r="HS122" s="243"/>
      <c r="HT122" s="243"/>
      <c r="HU122" s="243"/>
      <c r="HV122" s="243"/>
      <c r="HW122" s="243"/>
      <c r="HX122" s="243"/>
      <c r="HY122" s="243"/>
      <c r="HZ122" s="243"/>
      <c r="IA122" s="243"/>
    </row>
    <row r="123" spans="1:235" s="244" customFormat="1" ht="14.25" customHeight="1" x14ac:dyDescent="0.25">
      <c r="A123" s="241">
        <v>10</v>
      </c>
      <c r="B123" s="242"/>
      <c r="C123" s="366" t="s">
        <v>333</v>
      </c>
      <c r="D123" s="364" t="s">
        <v>177</v>
      </c>
      <c r="E123" s="365">
        <f>E114*0.35</f>
        <v>11.69</v>
      </c>
      <c r="F123" s="63"/>
      <c r="G123" s="64"/>
      <c r="H123" s="65"/>
      <c r="I123" s="64"/>
      <c r="J123" s="64"/>
      <c r="K123" s="66"/>
      <c r="L123" s="67"/>
      <c r="M123" s="64"/>
      <c r="N123" s="64"/>
      <c r="O123" s="64"/>
      <c r="P123" s="68"/>
      <c r="Q123" s="69"/>
      <c r="R123" s="137"/>
      <c r="S123" s="69"/>
      <c r="T123" s="243"/>
      <c r="U123" s="243"/>
      <c r="V123" s="243"/>
      <c r="W123" s="243"/>
      <c r="X123" s="243"/>
      <c r="Y123" s="243"/>
      <c r="Z123" s="243"/>
      <c r="AA123" s="243"/>
      <c r="AB123" s="243"/>
      <c r="AC123" s="243"/>
      <c r="AD123" s="243"/>
      <c r="AE123" s="243"/>
      <c r="AF123" s="243"/>
      <c r="AG123" s="243"/>
      <c r="AH123" s="243"/>
      <c r="AI123" s="243"/>
      <c r="AJ123" s="243"/>
      <c r="AK123" s="243"/>
      <c r="AL123" s="243"/>
      <c r="AM123" s="243"/>
      <c r="AN123" s="243"/>
      <c r="AO123" s="243"/>
      <c r="AP123" s="243"/>
      <c r="AQ123" s="243"/>
      <c r="AR123" s="243"/>
      <c r="AS123" s="243"/>
      <c r="AT123" s="243"/>
      <c r="AU123" s="243"/>
      <c r="AV123" s="243"/>
      <c r="AW123" s="243"/>
      <c r="AX123" s="243"/>
      <c r="AY123" s="243"/>
      <c r="AZ123" s="243"/>
      <c r="BA123" s="243"/>
      <c r="BB123" s="243"/>
      <c r="BC123" s="243"/>
      <c r="BD123" s="243"/>
      <c r="BE123" s="243"/>
      <c r="BF123" s="243"/>
      <c r="BG123" s="243"/>
      <c r="BH123" s="243"/>
      <c r="BI123" s="243"/>
      <c r="BJ123" s="243"/>
      <c r="BK123" s="243"/>
      <c r="BL123" s="243"/>
      <c r="BM123" s="243"/>
      <c r="BN123" s="243"/>
      <c r="BO123" s="243"/>
      <c r="BP123" s="243"/>
      <c r="BQ123" s="243"/>
      <c r="BR123" s="243"/>
      <c r="BS123" s="243"/>
      <c r="BT123" s="243"/>
      <c r="BU123" s="243"/>
      <c r="BV123" s="243"/>
      <c r="BW123" s="243"/>
      <c r="BX123" s="243"/>
      <c r="BY123" s="243"/>
      <c r="BZ123" s="243"/>
      <c r="CA123" s="243"/>
      <c r="CB123" s="243"/>
      <c r="CC123" s="243"/>
      <c r="CD123" s="243"/>
      <c r="CE123" s="243"/>
      <c r="CF123" s="243"/>
      <c r="CG123" s="243"/>
      <c r="CH123" s="243"/>
      <c r="CI123" s="243"/>
      <c r="CJ123" s="243"/>
      <c r="CK123" s="243"/>
      <c r="CL123" s="243"/>
      <c r="CM123" s="243"/>
      <c r="CN123" s="243"/>
      <c r="CO123" s="243"/>
      <c r="CP123" s="243"/>
      <c r="CQ123" s="243"/>
      <c r="CR123" s="243"/>
      <c r="CS123" s="243"/>
      <c r="CT123" s="243"/>
      <c r="CU123" s="243"/>
      <c r="CV123" s="243"/>
      <c r="CW123" s="243"/>
      <c r="CX123" s="243"/>
      <c r="CY123" s="243"/>
      <c r="CZ123" s="243"/>
      <c r="DA123" s="243"/>
      <c r="DB123" s="243"/>
      <c r="DC123" s="243"/>
      <c r="DD123" s="243"/>
      <c r="DE123" s="243"/>
      <c r="DF123" s="243"/>
      <c r="DG123" s="243"/>
      <c r="DH123" s="243"/>
      <c r="DI123" s="243"/>
      <c r="DJ123" s="243"/>
      <c r="DK123" s="243"/>
      <c r="DL123" s="243"/>
      <c r="DM123" s="243"/>
      <c r="DN123" s="243"/>
      <c r="DO123" s="243"/>
      <c r="DP123" s="243"/>
      <c r="DQ123" s="243"/>
      <c r="DR123" s="243"/>
      <c r="DS123" s="243"/>
      <c r="DT123" s="243"/>
      <c r="DU123" s="243"/>
      <c r="DV123" s="243"/>
      <c r="DW123" s="243"/>
      <c r="DX123" s="243"/>
      <c r="DY123" s="243"/>
      <c r="DZ123" s="243"/>
      <c r="EA123" s="243"/>
      <c r="EB123" s="243"/>
      <c r="EC123" s="243"/>
      <c r="ED123" s="243"/>
      <c r="EE123" s="243"/>
      <c r="EF123" s="243"/>
      <c r="EG123" s="243"/>
      <c r="EH123" s="243"/>
      <c r="EI123" s="243"/>
      <c r="EJ123" s="243"/>
      <c r="EK123" s="243"/>
      <c r="EL123" s="243"/>
      <c r="EM123" s="243"/>
      <c r="EN123" s="243"/>
      <c r="EO123" s="243"/>
      <c r="EP123" s="243"/>
      <c r="EQ123" s="243"/>
      <c r="ER123" s="243"/>
      <c r="ES123" s="243"/>
      <c r="ET123" s="243"/>
      <c r="EU123" s="243"/>
      <c r="EV123" s="243"/>
      <c r="EW123" s="243"/>
      <c r="EX123" s="243"/>
      <c r="EY123" s="243"/>
      <c r="EZ123" s="243"/>
      <c r="FA123" s="243"/>
      <c r="FB123" s="243"/>
      <c r="FC123" s="243"/>
      <c r="FD123" s="243"/>
      <c r="FE123" s="243"/>
      <c r="FF123" s="243"/>
      <c r="FG123" s="243"/>
      <c r="FH123" s="243"/>
      <c r="FI123" s="243"/>
      <c r="FJ123" s="243"/>
      <c r="FK123" s="243"/>
      <c r="FL123" s="243"/>
      <c r="FM123" s="243"/>
      <c r="FN123" s="243"/>
      <c r="FO123" s="243"/>
      <c r="FP123" s="243"/>
      <c r="FQ123" s="243"/>
      <c r="FR123" s="243"/>
      <c r="FS123" s="243"/>
      <c r="FT123" s="243"/>
      <c r="FU123" s="243"/>
      <c r="FV123" s="243"/>
      <c r="FW123" s="243"/>
      <c r="FX123" s="243"/>
      <c r="FY123" s="243"/>
      <c r="FZ123" s="243"/>
      <c r="GA123" s="243"/>
      <c r="GB123" s="243"/>
      <c r="GC123" s="243"/>
      <c r="GD123" s="243"/>
      <c r="GE123" s="243"/>
      <c r="GF123" s="243"/>
      <c r="GG123" s="243"/>
      <c r="GH123" s="243"/>
      <c r="GI123" s="243"/>
      <c r="GJ123" s="243"/>
      <c r="GK123" s="243"/>
      <c r="GL123" s="243"/>
      <c r="GM123" s="243"/>
      <c r="GN123" s="243"/>
      <c r="GO123" s="243"/>
      <c r="GP123" s="243"/>
      <c r="GQ123" s="243"/>
      <c r="GR123" s="243"/>
      <c r="GS123" s="243"/>
      <c r="GT123" s="243"/>
      <c r="GU123" s="243"/>
      <c r="GV123" s="243"/>
      <c r="GW123" s="243"/>
      <c r="GX123" s="243"/>
      <c r="GY123" s="243"/>
      <c r="GZ123" s="243"/>
      <c r="HA123" s="243"/>
      <c r="HB123" s="243"/>
      <c r="HC123" s="243"/>
      <c r="HD123" s="243"/>
      <c r="HE123" s="243"/>
      <c r="HF123" s="243"/>
      <c r="HG123" s="243"/>
      <c r="HH123" s="243"/>
      <c r="HI123" s="243"/>
      <c r="HJ123" s="243"/>
      <c r="HK123" s="243"/>
      <c r="HL123" s="243"/>
      <c r="HM123" s="243"/>
      <c r="HN123" s="243"/>
      <c r="HO123" s="243"/>
      <c r="HP123" s="243"/>
      <c r="HQ123" s="243"/>
      <c r="HR123" s="243"/>
      <c r="HS123" s="243"/>
      <c r="HT123" s="243"/>
      <c r="HU123" s="243"/>
      <c r="HV123" s="243"/>
      <c r="HW123" s="243"/>
      <c r="HX123" s="243"/>
      <c r="HY123" s="243"/>
      <c r="HZ123" s="243"/>
      <c r="IA123" s="243"/>
    </row>
    <row r="124" spans="1:235" s="244" customFormat="1" ht="14.25" customHeight="1" x14ac:dyDescent="0.25">
      <c r="A124" s="241">
        <v>11</v>
      </c>
      <c r="B124" s="242"/>
      <c r="C124" s="366" t="s">
        <v>334</v>
      </c>
      <c r="D124" s="364" t="s">
        <v>177</v>
      </c>
      <c r="E124" s="365">
        <f>E123</f>
        <v>11.69</v>
      </c>
      <c r="F124" s="63"/>
      <c r="G124" s="64"/>
      <c r="H124" s="65"/>
      <c r="I124" s="64"/>
      <c r="J124" s="64"/>
      <c r="K124" s="66"/>
      <c r="L124" s="67"/>
      <c r="M124" s="64"/>
      <c r="N124" s="64"/>
      <c r="O124" s="64"/>
      <c r="P124" s="68"/>
      <c r="Q124" s="69"/>
      <c r="R124" s="137"/>
      <c r="S124" s="69"/>
      <c r="T124" s="243"/>
      <c r="U124" s="243"/>
      <c r="V124" s="243"/>
      <c r="W124" s="243"/>
      <c r="X124" s="243"/>
      <c r="Y124" s="243"/>
      <c r="Z124" s="243"/>
      <c r="AA124" s="243"/>
      <c r="AB124" s="243"/>
      <c r="AC124" s="243"/>
      <c r="AD124" s="243"/>
      <c r="AE124" s="243"/>
      <c r="AF124" s="243"/>
      <c r="AG124" s="243"/>
      <c r="AH124" s="243"/>
      <c r="AI124" s="243"/>
      <c r="AJ124" s="243"/>
      <c r="AK124" s="243"/>
      <c r="AL124" s="243"/>
      <c r="AM124" s="243"/>
      <c r="AN124" s="243"/>
      <c r="AO124" s="243"/>
      <c r="AP124" s="243"/>
      <c r="AQ124" s="243"/>
      <c r="AR124" s="243"/>
      <c r="AS124" s="243"/>
      <c r="AT124" s="243"/>
      <c r="AU124" s="243"/>
      <c r="AV124" s="243"/>
      <c r="AW124" s="243"/>
      <c r="AX124" s="243"/>
      <c r="AY124" s="243"/>
      <c r="AZ124" s="243"/>
      <c r="BA124" s="243"/>
      <c r="BB124" s="243"/>
      <c r="BC124" s="243"/>
      <c r="BD124" s="243"/>
      <c r="BE124" s="243"/>
      <c r="BF124" s="243"/>
      <c r="BG124" s="243"/>
      <c r="BH124" s="243"/>
      <c r="BI124" s="243"/>
      <c r="BJ124" s="243"/>
      <c r="BK124" s="243"/>
      <c r="BL124" s="243"/>
      <c r="BM124" s="243"/>
      <c r="BN124" s="243"/>
      <c r="BO124" s="243"/>
      <c r="BP124" s="243"/>
      <c r="BQ124" s="243"/>
      <c r="BR124" s="243"/>
      <c r="BS124" s="243"/>
      <c r="BT124" s="243"/>
      <c r="BU124" s="243"/>
      <c r="BV124" s="243"/>
      <c r="BW124" s="243"/>
      <c r="BX124" s="243"/>
      <c r="BY124" s="243"/>
      <c r="BZ124" s="243"/>
      <c r="CA124" s="243"/>
      <c r="CB124" s="243"/>
      <c r="CC124" s="243"/>
      <c r="CD124" s="243"/>
      <c r="CE124" s="243"/>
      <c r="CF124" s="243"/>
      <c r="CG124" s="243"/>
      <c r="CH124" s="243"/>
      <c r="CI124" s="243"/>
      <c r="CJ124" s="243"/>
      <c r="CK124" s="243"/>
      <c r="CL124" s="243"/>
      <c r="CM124" s="243"/>
      <c r="CN124" s="243"/>
      <c r="CO124" s="243"/>
      <c r="CP124" s="243"/>
      <c r="CQ124" s="243"/>
      <c r="CR124" s="243"/>
      <c r="CS124" s="243"/>
      <c r="CT124" s="243"/>
      <c r="CU124" s="243"/>
      <c r="CV124" s="243"/>
      <c r="CW124" s="243"/>
      <c r="CX124" s="243"/>
      <c r="CY124" s="243"/>
      <c r="CZ124" s="243"/>
      <c r="DA124" s="243"/>
      <c r="DB124" s="243"/>
      <c r="DC124" s="243"/>
      <c r="DD124" s="243"/>
      <c r="DE124" s="243"/>
      <c r="DF124" s="243"/>
      <c r="DG124" s="243"/>
      <c r="DH124" s="243"/>
      <c r="DI124" s="243"/>
      <c r="DJ124" s="243"/>
      <c r="DK124" s="243"/>
      <c r="DL124" s="243"/>
      <c r="DM124" s="243"/>
      <c r="DN124" s="243"/>
      <c r="DO124" s="243"/>
      <c r="DP124" s="243"/>
      <c r="DQ124" s="243"/>
      <c r="DR124" s="243"/>
      <c r="DS124" s="243"/>
      <c r="DT124" s="243"/>
      <c r="DU124" s="243"/>
      <c r="DV124" s="243"/>
      <c r="DW124" s="243"/>
      <c r="DX124" s="243"/>
      <c r="DY124" s="243"/>
      <c r="DZ124" s="243"/>
      <c r="EA124" s="243"/>
      <c r="EB124" s="243"/>
      <c r="EC124" s="243"/>
      <c r="ED124" s="243"/>
      <c r="EE124" s="243"/>
      <c r="EF124" s="243"/>
      <c r="EG124" s="243"/>
      <c r="EH124" s="243"/>
      <c r="EI124" s="243"/>
      <c r="EJ124" s="243"/>
      <c r="EK124" s="243"/>
      <c r="EL124" s="243"/>
      <c r="EM124" s="243"/>
      <c r="EN124" s="243"/>
      <c r="EO124" s="243"/>
      <c r="EP124" s="243"/>
      <c r="EQ124" s="243"/>
      <c r="ER124" s="243"/>
      <c r="ES124" s="243"/>
      <c r="ET124" s="243"/>
      <c r="EU124" s="243"/>
      <c r="EV124" s="243"/>
      <c r="EW124" s="243"/>
      <c r="EX124" s="243"/>
      <c r="EY124" s="243"/>
      <c r="EZ124" s="243"/>
      <c r="FA124" s="243"/>
      <c r="FB124" s="243"/>
      <c r="FC124" s="243"/>
      <c r="FD124" s="243"/>
      <c r="FE124" s="243"/>
      <c r="FF124" s="243"/>
      <c r="FG124" s="243"/>
      <c r="FH124" s="243"/>
      <c r="FI124" s="243"/>
      <c r="FJ124" s="243"/>
      <c r="FK124" s="243"/>
      <c r="FL124" s="243"/>
      <c r="FM124" s="243"/>
      <c r="FN124" s="243"/>
      <c r="FO124" s="243"/>
      <c r="FP124" s="243"/>
      <c r="FQ124" s="243"/>
      <c r="FR124" s="243"/>
      <c r="FS124" s="243"/>
      <c r="FT124" s="243"/>
      <c r="FU124" s="243"/>
      <c r="FV124" s="243"/>
      <c r="FW124" s="243"/>
      <c r="FX124" s="243"/>
      <c r="FY124" s="243"/>
      <c r="FZ124" s="243"/>
      <c r="GA124" s="243"/>
      <c r="GB124" s="243"/>
      <c r="GC124" s="243"/>
      <c r="GD124" s="243"/>
      <c r="GE124" s="243"/>
      <c r="GF124" s="243"/>
      <c r="GG124" s="243"/>
      <c r="GH124" s="243"/>
      <c r="GI124" s="243"/>
      <c r="GJ124" s="243"/>
      <c r="GK124" s="243"/>
      <c r="GL124" s="243"/>
      <c r="GM124" s="243"/>
      <c r="GN124" s="243"/>
      <c r="GO124" s="243"/>
      <c r="GP124" s="243"/>
      <c r="GQ124" s="243"/>
      <c r="GR124" s="243"/>
      <c r="GS124" s="243"/>
      <c r="GT124" s="243"/>
      <c r="GU124" s="243"/>
      <c r="GV124" s="243"/>
      <c r="GW124" s="243"/>
      <c r="GX124" s="243"/>
      <c r="GY124" s="243"/>
      <c r="GZ124" s="243"/>
      <c r="HA124" s="243"/>
      <c r="HB124" s="243"/>
      <c r="HC124" s="243"/>
      <c r="HD124" s="243"/>
      <c r="HE124" s="243"/>
      <c r="HF124" s="243"/>
      <c r="HG124" s="243"/>
      <c r="HH124" s="243"/>
      <c r="HI124" s="243"/>
      <c r="HJ124" s="243"/>
      <c r="HK124" s="243"/>
      <c r="HL124" s="243"/>
      <c r="HM124" s="243"/>
      <c r="HN124" s="243"/>
      <c r="HO124" s="243"/>
      <c r="HP124" s="243"/>
      <c r="HQ124" s="243"/>
      <c r="HR124" s="243"/>
      <c r="HS124" s="243"/>
      <c r="HT124" s="243"/>
      <c r="HU124" s="243"/>
      <c r="HV124" s="243"/>
      <c r="HW124" s="243"/>
      <c r="HX124" s="243"/>
      <c r="HY124" s="243"/>
      <c r="HZ124" s="243"/>
      <c r="IA124" s="243"/>
    </row>
    <row r="125" spans="1:235" s="244" customFormat="1" ht="14.25" customHeight="1" x14ac:dyDescent="0.25">
      <c r="A125" s="241">
        <v>12</v>
      </c>
      <c r="B125" s="242"/>
      <c r="C125" s="366" t="s">
        <v>246</v>
      </c>
      <c r="D125" s="364" t="s">
        <v>124</v>
      </c>
      <c r="E125" s="365">
        <f>E114</f>
        <v>33.4</v>
      </c>
      <c r="F125" s="63"/>
      <c r="G125" s="64"/>
      <c r="H125" s="65"/>
      <c r="I125" s="64"/>
      <c r="J125" s="64"/>
      <c r="K125" s="66"/>
      <c r="L125" s="67"/>
      <c r="M125" s="64"/>
      <c r="N125" s="64"/>
      <c r="O125" s="64"/>
      <c r="P125" s="68"/>
      <c r="Q125" s="69"/>
      <c r="R125" s="137"/>
      <c r="S125" s="69"/>
      <c r="T125" s="243"/>
      <c r="U125" s="243"/>
      <c r="V125" s="243"/>
      <c r="W125" s="243"/>
      <c r="X125" s="243"/>
      <c r="Y125" s="243"/>
      <c r="Z125" s="243"/>
      <c r="AA125" s="243"/>
      <c r="AB125" s="243"/>
      <c r="AC125" s="243"/>
      <c r="AD125" s="243"/>
      <c r="AE125" s="243"/>
      <c r="AF125" s="243"/>
      <c r="AG125" s="243"/>
      <c r="AH125" s="243"/>
      <c r="AI125" s="243"/>
      <c r="AJ125" s="243"/>
      <c r="AK125" s="243"/>
      <c r="AL125" s="243"/>
      <c r="AM125" s="243"/>
      <c r="AN125" s="243"/>
      <c r="AO125" s="243"/>
      <c r="AP125" s="243"/>
      <c r="AQ125" s="243"/>
      <c r="AR125" s="243"/>
      <c r="AS125" s="243"/>
      <c r="AT125" s="243"/>
      <c r="AU125" s="243"/>
      <c r="AV125" s="243"/>
      <c r="AW125" s="243"/>
      <c r="AX125" s="243"/>
      <c r="AY125" s="243"/>
      <c r="AZ125" s="243"/>
      <c r="BA125" s="243"/>
      <c r="BB125" s="243"/>
      <c r="BC125" s="243"/>
      <c r="BD125" s="243"/>
      <c r="BE125" s="243"/>
      <c r="BF125" s="243"/>
      <c r="BG125" s="243"/>
      <c r="BH125" s="243"/>
      <c r="BI125" s="243"/>
      <c r="BJ125" s="243"/>
      <c r="BK125" s="243"/>
      <c r="BL125" s="243"/>
      <c r="BM125" s="243"/>
      <c r="BN125" s="243"/>
      <c r="BO125" s="243"/>
      <c r="BP125" s="243"/>
      <c r="BQ125" s="243"/>
      <c r="BR125" s="243"/>
      <c r="BS125" s="243"/>
      <c r="BT125" s="243"/>
      <c r="BU125" s="243"/>
      <c r="BV125" s="243"/>
      <c r="BW125" s="243"/>
      <c r="BX125" s="243"/>
      <c r="BY125" s="243"/>
      <c r="BZ125" s="243"/>
      <c r="CA125" s="243"/>
      <c r="CB125" s="243"/>
      <c r="CC125" s="243"/>
      <c r="CD125" s="243"/>
      <c r="CE125" s="243"/>
      <c r="CF125" s="243"/>
      <c r="CG125" s="243"/>
      <c r="CH125" s="243"/>
      <c r="CI125" s="243"/>
      <c r="CJ125" s="243"/>
      <c r="CK125" s="243"/>
      <c r="CL125" s="243"/>
      <c r="CM125" s="243"/>
      <c r="CN125" s="243"/>
      <c r="CO125" s="243"/>
      <c r="CP125" s="243"/>
      <c r="CQ125" s="243"/>
      <c r="CR125" s="243"/>
      <c r="CS125" s="243"/>
      <c r="CT125" s="243"/>
      <c r="CU125" s="243"/>
      <c r="CV125" s="243"/>
      <c r="CW125" s="243"/>
      <c r="CX125" s="243"/>
      <c r="CY125" s="243"/>
      <c r="CZ125" s="243"/>
      <c r="DA125" s="243"/>
      <c r="DB125" s="243"/>
      <c r="DC125" s="243"/>
      <c r="DD125" s="243"/>
      <c r="DE125" s="243"/>
      <c r="DF125" s="243"/>
      <c r="DG125" s="243"/>
      <c r="DH125" s="243"/>
      <c r="DI125" s="243"/>
      <c r="DJ125" s="243"/>
      <c r="DK125" s="243"/>
      <c r="DL125" s="243"/>
      <c r="DM125" s="243"/>
      <c r="DN125" s="243"/>
      <c r="DO125" s="243"/>
      <c r="DP125" s="243"/>
      <c r="DQ125" s="243"/>
      <c r="DR125" s="243"/>
      <c r="DS125" s="243"/>
      <c r="DT125" s="243"/>
      <c r="DU125" s="243"/>
      <c r="DV125" s="243"/>
      <c r="DW125" s="243"/>
      <c r="DX125" s="243"/>
      <c r="DY125" s="243"/>
      <c r="DZ125" s="243"/>
      <c r="EA125" s="243"/>
      <c r="EB125" s="243"/>
      <c r="EC125" s="243"/>
      <c r="ED125" s="243"/>
      <c r="EE125" s="243"/>
      <c r="EF125" s="243"/>
      <c r="EG125" s="243"/>
      <c r="EH125" s="243"/>
      <c r="EI125" s="243"/>
      <c r="EJ125" s="243"/>
      <c r="EK125" s="243"/>
      <c r="EL125" s="243"/>
      <c r="EM125" s="243"/>
      <c r="EN125" s="243"/>
      <c r="EO125" s="243"/>
      <c r="EP125" s="243"/>
      <c r="EQ125" s="243"/>
      <c r="ER125" s="243"/>
      <c r="ES125" s="243"/>
      <c r="ET125" s="243"/>
      <c r="EU125" s="243"/>
      <c r="EV125" s="243"/>
      <c r="EW125" s="243"/>
      <c r="EX125" s="243"/>
      <c r="EY125" s="243"/>
      <c r="EZ125" s="243"/>
      <c r="FA125" s="243"/>
      <c r="FB125" s="243"/>
      <c r="FC125" s="243"/>
      <c r="FD125" s="243"/>
      <c r="FE125" s="243"/>
      <c r="FF125" s="243"/>
      <c r="FG125" s="243"/>
      <c r="FH125" s="243"/>
      <c r="FI125" s="243"/>
      <c r="FJ125" s="243"/>
      <c r="FK125" s="243"/>
      <c r="FL125" s="243"/>
      <c r="FM125" s="243"/>
      <c r="FN125" s="243"/>
      <c r="FO125" s="243"/>
      <c r="FP125" s="243"/>
      <c r="FQ125" s="243"/>
      <c r="FR125" s="243"/>
      <c r="FS125" s="243"/>
      <c r="FT125" s="243"/>
      <c r="FU125" s="243"/>
      <c r="FV125" s="243"/>
      <c r="FW125" s="243"/>
      <c r="FX125" s="243"/>
      <c r="FY125" s="243"/>
      <c r="FZ125" s="243"/>
      <c r="GA125" s="243"/>
      <c r="GB125" s="243"/>
      <c r="GC125" s="243"/>
      <c r="GD125" s="243"/>
      <c r="GE125" s="243"/>
      <c r="GF125" s="243"/>
      <c r="GG125" s="243"/>
      <c r="GH125" s="243"/>
      <c r="GI125" s="243"/>
      <c r="GJ125" s="243"/>
      <c r="GK125" s="243"/>
      <c r="GL125" s="243"/>
      <c r="GM125" s="243"/>
      <c r="GN125" s="243"/>
      <c r="GO125" s="243"/>
      <c r="GP125" s="243"/>
      <c r="GQ125" s="243"/>
      <c r="GR125" s="243"/>
      <c r="GS125" s="243"/>
      <c r="GT125" s="243"/>
      <c r="GU125" s="243"/>
      <c r="GV125" s="243"/>
      <c r="GW125" s="243"/>
      <c r="GX125" s="243"/>
      <c r="GY125" s="243"/>
      <c r="GZ125" s="243"/>
      <c r="HA125" s="243"/>
      <c r="HB125" s="243"/>
      <c r="HC125" s="243"/>
      <c r="HD125" s="243"/>
      <c r="HE125" s="243"/>
      <c r="HF125" s="243"/>
      <c r="HG125" s="243"/>
      <c r="HH125" s="243"/>
      <c r="HI125" s="243"/>
      <c r="HJ125" s="243"/>
      <c r="HK125" s="243"/>
      <c r="HL125" s="243"/>
      <c r="HM125" s="243"/>
      <c r="HN125" s="243"/>
      <c r="HO125" s="243"/>
      <c r="HP125" s="243"/>
      <c r="HQ125" s="243"/>
      <c r="HR125" s="243"/>
      <c r="HS125" s="243"/>
      <c r="HT125" s="243"/>
      <c r="HU125" s="243"/>
      <c r="HV125" s="243"/>
      <c r="HW125" s="243"/>
      <c r="HX125" s="243"/>
      <c r="HY125" s="243"/>
      <c r="HZ125" s="243"/>
      <c r="IA125" s="243"/>
    </row>
    <row r="126" spans="1:235" ht="13.15" customHeight="1" x14ac:dyDescent="0.25">
      <c r="A126" s="82"/>
      <c r="B126" s="83"/>
      <c r="C126" s="83"/>
      <c r="D126" s="83"/>
      <c r="E126" s="84"/>
      <c r="F126" s="82"/>
      <c r="G126" s="83"/>
      <c r="H126" s="83"/>
      <c r="I126" s="83"/>
      <c r="J126" s="83"/>
      <c r="K126" s="85"/>
      <c r="L126" s="86"/>
      <c r="M126" s="83"/>
      <c r="N126" s="83"/>
      <c r="O126" s="83"/>
      <c r="P126" s="85"/>
    </row>
    <row r="127" spans="1:235" ht="15.75" customHeight="1" x14ac:dyDescent="0.25">
      <c r="A127" s="87"/>
      <c r="B127" s="88"/>
      <c r="C127" s="419" t="s">
        <v>136</v>
      </c>
      <c r="D127" s="419"/>
      <c r="E127" s="419"/>
      <c r="F127" s="419"/>
      <c r="G127" s="419"/>
      <c r="H127" s="419"/>
      <c r="I127" s="419"/>
      <c r="J127" s="419"/>
      <c r="K127" s="419"/>
      <c r="L127" s="89">
        <f>SUM(L21:L126)</f>
        <v>0</v>
      </c>
      <c r="M127" s="90">
        <f>SUM(M21:M126)</f>
        <v>0</v>
      </c>
      <c r="N127" s="90">
        <f>SUM(N21:N126)</f>
        <v>0</v>
      </c>
      <c r="O127" s="90">
        <f>SUM(O21:O126)</f>
        <v>0</v>
      </c>
      <c r="P127" s="21">
        <f>SUM(P21:P126)</f>
        <v>0</v>
      </c>
    </row>
    <row r="128" spans="1:235" ht="5.25" customHeight="1" x14ac:dyDescent="0.25"/>
    <row r="129" spans="2:6" x14ac:dyDescent="0.25">
      <c r="B129" s="1" t="s">
        <v>26</v>
      </c>
      <c r="C129" s="6">
        <f>KOPTAME!C58</f>
        <v>0</v>
      </c>
      <c r="E129" s="34">
        <f>'KOPS 1'!F42</f>
        <v>0</v>
      </c>
    </row>
    <row r="130" spans="2:6" x14ac:dyDescent="0.25">
      <c r="C130" s="32" t="s">
        <v>86</v>
      </c>
      <c r="E130" s="2"/>
    </row>
    <row r="131" spans="2:6" ht="4.5" customHeight="1" x14ac:dyDescent="0.25">
      <c r="E131" s="2"/>
    </row>
    <row r="132" spans="2:6" x14ac:dyDescent="0.25">
      <c r="B132" s="5"/>
      <c r="C132" s="33"/>
      <c r="D132" s="2"/>
      <c r="E132" s="2"/>
      <c r="F132" s="42"/>
    </row>
    <row r="133" spans="2:6" ht="5.25" customHeight="1" x14ac:dyDescent="0.25">
      <c r="E133" s="2"/>
    </row>
    <row r="134" spans="2:6" x14ac:dyDescent="0.25">
      <c r="B134" s="1" t="s">
        <v>28</v>
      </c>
      <c r="C134" s="6">
        <f>KOPTAME!C63</f>
        <v>0</v>
      </c>
      <c r="E134" s="34">
        <f>E129</f>
        <v>0</v>
      </c>
    </row>
    <row r="135" spans="2:6" x14ac:dyDescent="0.25">
      <c r="C135" s="32" t="s">
        <v>86</v>
      </c>
      <c r="E135" s="2"/>
    </row>
    <row r="136" spans="2:6" ht="4.5" customHeight="1" x14ac:dyDescent="0.25"/>
    <row r="137" spans="2:6" x14ac:dyDescent="0.25">
      <c r="C137" s="1">
        <f>KOPTAME!C68</f>
        <v>0</v>
      </c>
    </row>
    <row r="139" spans="2:6" x14ac:dyDescent="0.25">
      <c r="C139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127:K127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MJ59"/>
  <sheetViews>
    <sheetView view="pageBreakPreview" topLeftCell="A9" zoomScaleNormal="100" workbookViewId="0">
      <selection activeCell="J42" sqref="J42"/>
    </sheetView>
  </sheetViews>
  <sheetFormatPr defaultColWidth="9.140625" defaultRowHeight="15" x14ac:dyDescent="0.25"/>
  <cols>
    <col min="1" max="1" width="6.28515625" style="183" customWidth="1"/>
    <col min="2" max="2" width="9" style="183" customWidth="1"/>
    <col min="3" max="3" width="32.85546875" style="183" customWidth="1"/>
    <col min="4" max="4" width="8" style="183" customWidth="1"/>
    <col min="5" max="5" width="7.140625" style="183" customWidth="1"/>
    <col min="6" max="6" width="9.140625" style="183"/>
    <col min="7" max="7" width="7.140625" style="183" customWidth="1"/>
    <col min="8" max="8" width="8.42578125" style="183" customWidth="1"/>
    <col min="9" max="9" width="8.28515625" style="183" customWidth="1"/>
    <col min="10" max="10" width="9.140625" style="183"/>
    <col min="11" max="11" width="8.28515625" style="183" customWidth="1"/>
    <col min="12" max="12" width="7.85546875" style="183" customWidth="1"/>
    <col min="13" max="1024" width="9.140625" style="183"/>
  </cols>
  <sheetData>
    <row r="1" spans="1:16" x14ac:dyDescent="0.25">
      <c r="M1" s="438" t="s">
        <v>87</v>
      </c>
      <c r="N1" s="438"/>
      <c r="O1" s="438"/>
      <c r="P1" s="438"/>
    </row>
    <row r="2" spans="1:16" x14ac:dyDescent="0.25">
      <c r="E2" s="441" t="s">
        <v>88</v>
      </c>
      <c r="F2" s="441"/>
      <c r="G2" s="441"/>
      <c r="H2" s="441"/>
      <c r="I2" s="185" t="s">
        <v>402</v>
      </c>
    </row>
    <row r="3" spans="1:16" x14ac:dyDescent="0.25">
      <c r="D3" s="442" t="s">
        <v>65</v>
      </c>
      <c r="E3" s="442"/>
      <c r="F3" s="442"/>
      <c r="G3" s="442"/>
      <c r="H3" s="442"/>
      <c r="I3" s="442"/>
      <c r="J3" s="442"/>
      <c r="K3" s="442"/>
      <c r="L3" s="442"/>
      <c r="M3" s="442"/>
    </row>
    <row r="4" spans="1:16" x14ac:dyDescent="0.25">
      <c r="D4" s="443" t="s">
        <v>89</v>
      </c>
      <c r="E4" s="443"/>
      <c r="F4" s="443"/>
      <c r="G4" s="443"/>
      <c r="H4" s="443"/>
      <c r="I4" s="443"/>
      <c r="J4" s="443"/>
      <c r="K4" s="443"/>
      <c r="L4" s="443"/>
      <c r="M4" s="443"/>
    </row>
    <row r="5" spans="1:16" ht="9" customHeight="1" x14ac:dyDescent="0.25"/>
    <row r="6" spans="1:16" x14ac:dyDescent="0.25">
      <c r="A6" s="438" t="s">
        <v>10</v>
      </c>
      <c r="B6" s="438"/>
      <c r="C6" s="439" t="str">
        <f>KOPTAME!C15</f>
        <v>VALGUNDES PAGASTA PĀRVALDES ĒKAS ENERGOEFEKTIVITĀTES PAAGUSTINĀŠANA</v>
      </c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</row>
    <row r="7" spans="1:16" x14ac:dyDescent="0.25">
      <c r="A7" s="438" t="s">
        <v>12</v>
      </c>
      <c r="B7" s="438"/>
      <c r="C7" s="439" t="str">
        <f>KOPTAME!C16</f>
        <v>VALGUNDES PAGASTA PĀRVALDES ĒKA</v>
      </c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39"/>
    </row>
    <row r="8" spans="1:16" x14ac:dyDescent="0.25">
      <c r="A8" s="438" t="s">
        <v>14</v>
      </c>
      <c r="B8" s="438"/>
      <c r="C8" s="439" t="str">
        <f>KOPTAME!C17</f>
        <v>CELTNIEKU IELA 35, VALGUNDE, JELGAVAS NOVADS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39"/>
    </row>
    <row r="9" spans="1:16" x14ac:dyDescent="0.25">
      <c r="A9" s="438" t="s">
        <v>16</v>
      </c>
      <c r="B9" s="438"/>
      <c r="C9" s="439" t="str">
        <f>KOPTAME!C18</f>
        <v>JELGAVAS NOVADA PAŠVALDĪBA</v>
      </c>
      <c r="D9" s="439"/>
      <c r="E9" s="439"/>
      <c r="F9" s="439"/>
      <c r="G9" s="439"/>
      <c r="H9" s="439"/>
      <c r="I9" s="439"/>
      <c r="J9" s="439"/>
      <c r="K9" s="439"/>
      <c r="L9" s="439"/>
      <c r="M9" s="439"/>
      <c r="N9" s="439"/>
      <c r="O9" s="439"/>
      <c r="P9" s="439"/>
    </row>
    <row r="10" spans="1:16" x14ac:dyDescent="0.25">
      <c r="A10" s="438" t="s">
        <v>18</v>
      </c>
      <c r="B10" s="438"/>
      <c r="C10" s="439" t="str">
        <f>KOPTAME!C19</f>
        <v>23-019/3   (KPJ/2023/31-5)</v>
      </c>
      <c r="D10" s="439"/>
      <c r="E10" s="439"/>
      <c r="F10" s="439"/>
      <c r="G10" s="439"/>
      <c r="H10" s="439"/>
      <c r="I10" s="439"/>
      <c r="J10" s="439"/>
      <c r="K10" s="439"/>
      <c r="L10" s="439"/>
      <c r="M10" s="439"/>
      <c r="N10" s="439"/>
      <c r="O10" s="439"/>
      <c r="P10" s="439"/>
    </row>
    <row r="11" spans="1:16" x14ac:dyDescent="0.25">
      <c r="A11" s="438" t="s">
        <v>19</v>
      </c>
      <c r="B11" s="438"/>
      <c r="C11" s="439">
        <f>KOPTAME!C20</f>
        <v>0</v>
      </c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</row>
    <row r="13" spans="1:16" x14ac:dyDescent="0.25">
      <c r="A13" s="440">
        <f>KOPTAME!B22</f>
        <v>0</v>
      </c>
      <c r="B13" s="440"/>
      <c r="C13" s="440"/>
      <c r="D13" s="440"/>
      <c r="E13" s="440"/>
      <c r="F13" s="440"/>
      <c r="G13" s="440"/>
      <c r="H13" s="440"/>
      <c r="I13" s="440"/>
      <c r="J13" s="440"/>
      <c r="K13" s="440"/>
      <c r="M13" s="439" t="s">
        <v>90</v>
      </c>
      <c r="N13" s="439"/>
      <c r="O13" s="188">
        <f>P47</f>
        <v>0</v>
      </c>
      <c r="P13" s="187" t="s">
        <v>91</v>
      </c>
    </row>
    <row r="14" spans="1:16" x14ac:dyDescent="0.25">
      <c r="A14" s="440"/>
      <c r="B14" s="440"/>
      <c r="C14" s="440"/>
      <c r="D14" s="440"/>
      <c r="E14" s="440"/>
      <c r="F14" s="440"/>
      <c r="G14" s="440"/>
      <c r="H14" s="440"/>
      <c r="I14" s="440"/>
      <c r="J14" s="440"/>
      <c r="K14" s="440"/>
      <c r="M14" s="187"/>
      <c r="N14" s="187"/>
      <c r="O14" s="189"/>
      <c r="P14" s="187"/>
    </row>
    <row r="15" spans="1:16" x14ac:dyDescent="0.25">
      <c r="L15" s="184"/>
      <c r="M15" s="187"/>
      <c r="N15" s="187"/>
      <c r="O15" s="189"/>
      <c r="P15" s="184">
        <f>KOPTAME!C70</f>
        <v>0</v>
      </c>
    </row>
    <row r="17" spans="1:19" ht="15" customHeight="1" x14ac:dyDescent="0.25">
      <c r="A17" s="433" t="s">
        <v>92</v>
      </c>
      <c r="B17" s="434" t="s">
        <v>93</v>
      </c>
      <c r="C17" s="435" t="s">
        <v>94</v>
      </c>
      <c r="D17" s="436" t="s">
        <v>95</v>
      </c>
      <c r="E17" s="437" t="s">
        <v>96</v>
      </c>
      <c r="F17" s="430" t="s">
        <v>97</v>
      </c>
      <c r="G17" s="430"/>
      <c r="H17" s="430"/>
      <c r="I17" s="430"/>
      <c r="J17" s="430"/>
      <c r="K17" s="430"/>
      <c r="L17" s="431" t="s">
        <v>98</v>
      </c>
      <c r="M17" s="431"/>
      <c r="N17" s="431"/>
      <c r="O17" s="431"/>
      <c r="P17" s="431"/>
    </row>
    <row r="18" spans="1:19" ht="58.15" customHeight="1" x14ac:dyDescent="0.25">
      <c r="A18" s="433"/>
      <c r="B18" s="434"/>
      <c r="C18" s="435"/>
      <c r="D18" s="436"/>
      <c r="E18" s="437"/>
      <c r="F18" s="190" t="s">
        <v>99</v>
      </c>
      <c r="G18" s="191" t="s">
        <v>100</v>
      </c>
      <c r="H18" s="191" t="s">
        <v>101</v>
      </c>
      <c r="I18" s="191" t="s">
        <v>102</v>
      </c>
      <c r="J18" s="191" t="s">
        <v>103</v>
      </c>
      <c r="K18" s="192" t="s">
        <v>104</v>
      </c>
      <c r="L18" s="193" t="s">
        <v>105</v>
      </c>
      <c r="M18" s="191" t="s">
        <v>101</v>
      </c>
      <c r="N18" s="191" t="s">
        <v>102</v>
      </c>
      <c r="O18" s="191" t="s">
        <v>103</v>
      </c>
      <c r="P18" s="192" t="s">
        <v>106</v>
      </c>
    </row>
    <row r="19" spans="1:19" x14ac:dyDescent="0.25">
      <c r="A19" s="194">
        <v>1</v>
      </c>
      <c r="B19" s="195">
        <v>2</v>
      </c>
      <c r="C19" s="195">
        <v>3</v>
      </c>
      <c r="D19" s="195">
        <v>4</v>
      </c>
      <c r="E19" s="196">
        <v>5</v>
      </c>
      <c r="F19" s="194">
        <v>6</v>
      </c>
      <c r="G19" s="195">
        <v>7</v>
      </c>
      <c r="H19" s="195">
        <v>8</v>
      </c>
      <c r="I19" s="195">
        <v>9</v>
      </c>
      <c r="J19" s="195">
        <v>10</v>
      </c>
      <c r="K19" s="197">
        <v>11</v>
      </c>
      <c r="L19" s="198">
        <v>12</v>
      </c>
      <c r="M19" s="195">
        <v>13</v>
      </c>
      <c r="N19" s="195">
        <v>14</v>
      </c>
      <c r="O19" s="195">
        <v>15</v>
      </c>
      <c r="P19" s="197">
        <v>16</v>
      </c>
    </row>
    <row r="20" spans="1:19" x14ac:dyDescent="0.25">
      <c r="A20" s="199"/>
      <c r="B20" s="200"/>
      <c r="C20" s="373" t="s">
        <v>463</v>
      </c>
      <c r="D20" s="374"/>
      <c r="E20" s="375"/>
      <c r="F20" s="199"/>
      <c r="G20" s="200"/>
      <c r="H20" s="200"/>
      <c r="I20" s="200"/>
      <c r="J20" s="200"/>
      <c r="K20" s="201"/>
      <c r="L20" s="202"/>
      <c r="M20" s="200"/>
      <c r="N20" s="200"/>
      <c r="O20" s="200"/>
      <c r="P20" s="201"/>
    </row>
    <row r="21" spans="1:19" s="210" customFormat="1" ht="51" customHeight="1" x14ac:dyDescent="0.25">
      <c r="A21" s="203">
        <v>1</v>
      </c>
      <c r="B21" s="204" t="s">
        <v>108</v>
      </c>
      <c r="C21" s="114" t="s">
        <v>696</v>
      </c>
      <c r="D21" s="113" t="s">
        <v>112</v>
      </c>
      <c r="E21" s="376">
        <v>1</v>
      </c>
      <c r="F21" s="205"/>
      <c r="G21" s="206"/>
      <c r="H21" s="207"/>
      <c r="I21" s="206"/>
      <c r="J21" s="206"/>
      <c r="K21" s="208"/>
      <c r="L21" s="209"/>
      <c r="M21" s="206"/>
      <c r="N21" s="206"/>
      <c r="O21" s="206"/>
      <c r="P21" s="208"/>
      <c r="S21" s="211"/>
    </row>
    <row r="22" spans="1:19" s="210" customFormat="1" ht="51" customHeight="1" x14ac:dyDescent="0.25">
      <c r="A22" s="203">
        <v>2</v>
      </c>
      <c r="B22" s="204" t="s">
        <v>108</v>
      </c>
      <c r="C22" s="114" t="s">
        <v>695</v>
      </c>
      <c r="D22" s="113" t="s">
        <v>112</v>
      </c>
      <c r="E22" s="376">
        <v>6</v>
      </c>
      <c r="F22" s="205"/>
      <c r="G22" s="206"/>
      <c r="H22" s="207"/>
      <c r="I22" s="206"/>
      <c r="J22" s="206"/>
      <c r="K22" s="208"/>
      <c r="L22" s="209"/>
      <c r="M22" s="206"/>
      <c r="N22" s="206"/>
      <c r="O22" s="206"/>
      <c r="P22" s="208"/>
      <c r="S22" s="211"/>
    </row>
    <row r="23" spans="1:19" s="210" customFormat="1" ht="51" customHeight="1" x14ac:dyDescent="0.25">
      <c r="A23" s="203">
        <v>3</v>
      </c>
      <c r="B23" s="204" t="s">
        <v>108</v>
      </c>
      <c r="C23" s="114" t="s">
        <v>694</v>
      </c>
      <c r="D23" s="113" t="s">
        <v>112</v>
      </c>
      <c r="E23" s="376">
        <v>1</v>
      </c>
      <c r="F23" s="205"/>
      <c r="G23" s="206"/>
      <c r="H23" s="207"/>
      <c r="I23" s="212"/>
      <c r="J23" s="206"/>
      <c r="K23" s="208"/>
      <c r="L23" s="209"/>
      <c r="M23" s="206"/>
      <c r="N23" s="206"/>
      <c r="O23" s="206"/>
      <c r="P23" s="208"/>
      <c r="S23" s="211"/>
    </row>
    <row r="24" spans="1:19" s="210" customFormat="1" ht="51" customHeight="1" x14ac:dyDescent="0.25">
      <c r="A24" s="203">
        <v>4</v>
      </c>
      <c r="B24" s="204" t="s">
        <v>108</v>
      </c>
      <c r="C24" s="114" t="s">
        <v>693</v>
      </c>
      <c r="D24" s="113" t="s">
        <v>112</v>
      </c>
      <c r="E24" s="376">
        <v>1</v>
      </c>
      <c r="F24" s="205"/>
      <c r="G24" s="206"/>
      <c r="H24" s="207"/>
      <c r="I24" s="212"/>
      <c r="J24" s="206"/>
      <c r="K24" s="208"/>
      <c r="L24" s="209"/>
      <c r="M24" s="206"/>
      <c r="N24" s="206"/>
      <c r="O24" s="206"/>
      <c r="P24" s="208"/>
      <c r="S24" s="211"/>
    </row>
    <row r="25" spans="1:19" s="210" customFormat="1" ht="51" customHeight="1" x14ac:dyDescent="0.25">
      <c r="A25" s="203">
        <v>5</v>
      </c>
      <c r="B25" s="204" t="s">
        <v>108</v>
      </c>
      <c r="C25" s="114" t="s">
        <v>692</v>
      </c>
      <c r="D25" s="113" t="s">
        <v>112</v>
      </c>
      <c r="E25" s="376">
        <v>4</v>
      </c>
      <c r="F25" s="205"/>
      <c r="G25" s="206"/>
      <c r="H25" s="207"/>
      <c r="I25" s="212"/>
      <c r="J25" s="206"/>
      <c r="K25" s="208"/>
      <c r="L25" s="209"/>
      <c r="M25" s="206"/>
      <c r="N25" s="206"/>
      <c r="O25" s="206"/>
      <c r="P25" s="208"/>
      <c r="S25" s="211"/>
    </row>
    <row r="26" spans="1:19" s="210" customFormat="1" ht="51" customHeight="1" x14ac:dyDescent="0.25">
      <c r="A26" s="203">
        <v>6</v>
      </c>
      <c r="B26" s="204" t="s">
        <v>108</v>
      </c>
      <c r="C26" s="114" t="s">
        <v>691</v>
      </c>
      <c r="D26" s="113" t="s">
        <v>112</v>
      </c>
      <c r="E26" s="376">
        <v>1</v>
      </c>
      <c r="F26" s="205"/>
      <c r="G26" s="206"/>
      <c r="H26" s="207"/>
      <c r="I26" s="212"/>
      <c r="J26" s="206"/>
      <c r="K26" s="208"/>
      <c r="L26" s="209"/>
      <c r="M26" s="206"/>
      <c r="N26" s="206"/>
      <c r="O26" s="206"/>
      <c r="P26" s="208"/>
      <c r="S26" s="211"/>
    </row>
    <row r="27" spans="1:19" s="210" customFormat="1" ht="51" customHeight="1" x14ac:dyDescent="0.25">
      <c r="A27" s="203">
        <v>7</v>
      </c>
      <c r="B27" s="204" t="s">
        <v>108</v>
      </c>
      <c r="C27" s="114" t="s">
        <v>690</v>
      </c>
      <c r="D27" s="113" t="s">
        <v>112</v>
      </c>
      <c r="E27" s="376">
        <v>1</v>
      </c>
      <c r="F27" s="205"/>
      <c r="G27" s="206"/>
      <c r="H27" s="207"/>
      <c r="I27" s="212"/>
      <c r="J27" s="206"/>
      <c r="K27" s="208"/>
      <c r="L27" s="209"/>
      <c r="M27" s="206"/>
      <c r="N27" s="206"/>
      <c r="O27" s="206"/>
      <c r="P27" s="208"/>
      <c r="S27" s="211"/>
    </row>
    <row r="28" spans="1:19" s="210" customFormat="1" ht="45" customHeight="1" x14ac:dyDescent="0.25">
      <c r="A28" s="203">
        <v>8</v>
      </c>
      <c r="B28" s="204" t="s">
        <v>108</v>
      </c>
      <c r="C28" s="114" t="s">
        <v>689</v>
      </c>
      <c r="D28" s="113" t="s">
        <v>114</v>
      </c>
      <c r="E28" s="376">
        <v>28</v>
      </c>
      <c r="F28" s="205"/>
      <c r="G28" s="206"/>
      <c r="H28" s="207"/>
      <c r="I28" s="212"/>
      <c r="J28" s="206"/>
      <c r="K28" s="208"/>
      <c r="L28" s="209"/>
      <c r="M28" s="206"/>
      <c r="N28" s="206"/>
      <c r="O28" s="206"/>
      <c r="P28" s="208"/>
      <c r="S28" s="211"/>
    </row>
    <row r="29" spans="1:19" s="210" customFormat="1" ht="43.5" customHeight="1" x14ac:dyDescent="0.25">
      <c r="A29" s="203">
        <v>9</v>
      </c>
      <c r="B29" s="204" t="s">
        <v>108</v>
      </c>
      <c r="C29" s="114" t="s">
        <v>688</v>
      </c>
      <c r="D29" s="113" t="s">
        <v>114</v>
      </c>
      <c r="E29" s="376">
        <v>28</v>
      </c>
      <c r="F29" s="205"/>
      <c r="G29" s="206"/>
      <c r="H29" s="207"/>
      <c r="I29" s="206"/>
      <c r="J29" s="206"/>
      <c r="K29" s="208"/>
      <c r="L29" s="209"/>
      <c r="M29" s="206"/>
      <c r="N29" s="206"/>
      <c r="O29" s="206"/>
      <c r="P29" s="208"/>
      <c r="S29" s="211"/>
    </row>
    <row r="30" spans="1:19" s="210" customFormat="1" ht="28.5" customHeight="1" x14ac:dyDescent="0.25">
      <c r="A30" s="203">
        <v>10</v>
      </c>
      <c r="B30" s="204" t="s">
        <v>108</v>
      </c>
      <c r="C30" s="114" t="s">
        <v>687</v>
      </c>
      <c r="D30" s="113" t="s">
        <v>114</v>
      </c>
      <c r="E30" s="376">
        <v>28</v>
      </c>
      <c r="F30" s="205"/>
      <c r="G30" s="206"/>
      <c r="H30" s="207"/>
      <c r="I30" s="206"/>
      <c r="J30" s="206"/>
      <c r="K30" s="208"/>
      <c r="L30" s="209"/>
      <c r="M30" s="206"/>
      <c r="N30" s="206"/>
      <c r="O30" s="206"/>
      <c r="P30" s="208"/>
      <c r="S30" s="211"/>
    </row>
    <row r="31" spans="1:19" s="210" customFormat="1" ht="28.5" customHeight="1" x14ac:dyDescent="0.25">
      <c r="A31" s="203">
        <v>11</v>
      </c>
      <c r="B31" s="204" t="s">
        <v>108</v>
      </c>
      <c r="C31" s="114" t="s">
        <v>686</v>
      </c>
      <c r="D31" s="113" t="s">
        <v>114</v>
      </c>
      <c r="E31" s="376">
        <v>2</v>
      </c>
      <c r="F31" s="205"/>
      <c r="G31" s="206"/>
      <c r="H31" s="207"/>
      <c r="I31" s="206"/>
      <c r="J31" s="206"/>
      <c r="K31" s="208"/>
      <c r="L31" s="209"/>
      <c r="M31" s="206"/>
      <c r="N31" s="206"/>
      <c r="O31" s="206"/>
      <c r="P31" s="208"/>
      <c r="S31" s="211"/>
    </row>
    <row r="32" spans="1:19" s="210" customFormat="1" ht="28.5" customHeight="1" x14ac:dyDescent="0.25">
      <c r="A32" s="203">
        <v>12</v>
      </c>
      <c r="B32" s="204" t="s">
        <v>108</v>
      </c>
      <c r="C32" s="114" t="s">
        <v>685</v>
      </c>
      <c r="D32" s="113" t="s">
        <v>114</v>
      </c>
      <c r="E32" s="376">
        <v>2</v>
      </c>
      <c r="F32" s="205"/>
      <c r="G32" s="206"/>
      <c r="H32" s="207"/>
      <c r="I32" s="206"/>
      <c r="J32" s="206"/>
      <c r="K32" s="208"/>
      <c r="L32" s="209"/>
      <c r="M32" s="206"/>
      <c r="N32" s="206"/>
      <c r="O32" s="206"/>
      <c r="P32" s="208"/>
      <c r="S32" s="211"/>
    </row>
    <row r="33" spans="1:19" s="210" customFormat="1" ht="19.350000000000001" customHeight="1" x14ac:dyDescent="0.25">
      <c r="A33" s="203">
        <v>13</v>
      </c>
      <c r="B33" s="204" t="s">
        <v>108</v>
      </c>
      <c r="C33" s="114" t="s">
        <v>464</v>
      </c>
      <c r="D33" s="113" t="s">
        <v>114</v>
      </c>
      <c r="E33" s="376">
        <v>14</v>
      </c>
      <c r="F33" s="205"/>
      <c r="G33" s="206"/>
      <c r="H33" s="207"/>
      <c r="I33" s="212"/>
      <c r="J33" s="206"/>
      <c r="K33" s="208"/>
      <c r="L33" s="209"/>
      <c r="M33" s="206"/>
      <c r="N33" s="206"/>
      <c r="O33" s="206"/>
      <c r="P33" s="208"/>
      <c r="S33" s="211"/>
    </row>
    <row r="34" spans="1:19" s="210" customFormat="1" ht="29.25" customHeight="1" x14ac:dyDescent="0.25">
      <c r="A34" s="203">
        <v>14</v>
      </c>
      <c r="B34" s="204" t="s">
        <v>108</v>
      </c>
      <c r="C34" s="114" t="s">
        <v>465</v>
      </c>
      <c r="D34" s="113" t="s">
        <v>110</v>
      </c>
      <c r="E34" s="376">
        <v>165</v>
      </c>
      <c r="F34" s="205"/>
      <c r="G34" s="206"/>
      <c r="H34" s="207"/>
      <c r="I34" s="212"/>
      <c r="J34" s="206"/>
      <c r="K34" s="208"/>
      <c r="L34" s="209"/>
      <c r="M34" s="206"/>
      <c r="N34" s="206"/>
      <c r="O34" s="206"/>
      <c r="P34" s="208"/>
      <c r="S34" s="211"/>
    </row>
    <row r="35" spans="1:19" s="210" customFormat="1" ht="29.25" customHeight="1" x14ac:dyDescent="0.25">
      <c r="A35" s="203">
        <v>15</v>
      </c>
      <c r="B35" s="204" t="s">
        <v>108</v>
      </c>
      <c r="C35" s="114" t="s">
        <v>466</v>
      </c>
      <c r="D35" s="113" t="s">
        <v>110</v>
      </c>
      <c r="E35" s="376">
        <v>78</v>
      </c>
      <c r="F35" s="205"/>
      <c r="G35" s="206"/>
      <c r="H35" s="207"/>
      <c r="I35" s="212"/>
      <c r="J35" s="206"/>
      <c r="K35" s="208"/>
      <c r="L35" s="209"/>
      <c r="M35" s="206"/>
      <c r="N35" s="206"/>
      <c r="O35" s="206"/>
      <c r="P35" s="208"/>
      <c r="S35" s="211"/>
    </row>
    <row r="36" spans="1:19" s="210" customFormat="1" ht="38.25" customHeight="1" x14ac:dyDescent="0.25">
      <c r="A36" s="203">
        <v>16</v>
      </c>
      <c r="B36" s="204" t="s">
        <v>108</v>
      </c>
      <c r="C36" s="114" t="s">
        <v>467</v>
      </c>
      <c r="D36" s="113" t="s">
        <v>112</v>
      </c>
      <c r="E36" s="376">
        <v>1</v>
      </c>
      <c r="F36" s="205"/>
      <c r="G36" s="206"/>
      <c r="H36" s="207"/>
      <c r="I36" s="212"/>
      <c r="J36" s="206"/>
      <c r="K36" s="208"/>
      <c r="L36" s="209"/>
      <c r="M36" s="206"/>
      <c r="N36" s="206"/>
      <c r="O36" s="206"/>
      <c r="P36" s="208"/>
      <c r="S36" s="211"/>
    </row>
    <row r="37" spans="1:19" s="210" customFormat="1" ht="32.1" customHeight="1" x14ac:dyDescent="0.25">
      <c r="A37" s="203">
        <v>17</v>
      </c>
      <c r="B37" s="204" t="s">
        <v>108</v>
      </c>
      <c r="C37" s="114" t="s">
        <v>684</v>
      </c>
      <c r="D37" s="113" t="s">
        <v>112</v>
      </c>
      <c r="E37" s="376">
        <v>1</v>
      </c>
      <c r="F37" s="205"/>
      <c r="G37" s="206"/>
      <c r="H37" s="207"/>
      <c r="I37" s="212"/>
      <c r="J37" s="206"/>
      <c r="K37" s="208"/>
      <c r="L37" s="209"/>
      <c r="M37" s="206"/>
      <c r="N37" s="206"/>
      <c r="O37" s="206"/>
      <c r="P37" s="208"/>
      <c r="S37" s="211"/>
    </row>
    <row r="38" spans="1:19" s="210" customFormat="1" ht="32.1" customHeight="1" x14ac:dyDescent="0.25">
      <c r="A38" s="203">
        <v>18</v>
      </c>
      <c r="B38" s="204" t="s">
        <v>108</v>
      </c>
      <c r="C38" s="114" t="s">
        <v>683</v>
      </c>
      <c r="D38" s="113" t="s">
        <v>112</v>
      </c>
      <c r="E38" s="376">
        <v>1</v>
      </c>
      <c r="F38" s="205"/>
      <c r="G38" s="206"/>
      <c r="H38" s="207"/>
      <c r="I38" s="212"/>
      <c r="J38" s="206"/>
      <c r="K38" s="208"/>
      <c r="L38" s="209"/>
      <c r="M38" s="206"/>
      <c r="N38" s="206"/>
      <c r="O38" s="206"/>
      <c r="P38" s="208"/>
      <c r="S38" s="211"/>
    </row>
    <row r="39" spans="1:19" s="210" customFormat="1" ht="17.100000000000001" customHeight="1" x14ac:dyDescent="0.25">
      <c r="A39" s="203">
        <v>19</v>
      </c>
      <c r="B39" s="204" t="s">
        <v>108</v>
      </c>
      <c r="C39" s="114" t="s">
        <v>468</v>
      </c>
      <c r="D39" s="113" t="s">
        <v>110</v>
      </c>
      <c r="E39" s="376">
        <v>10</v>
      </c>
      <c r="F39" s="205"/>
      <c r="G39" s="206"/>
      <c r="H39" s="207"/>
      <c r="I39" s="206"/>
      <c r="J39" s="206"/>
      <c r="K39" s="208"/>
      <c r="L39" s="209"/>
      <c r="M39" s="206"/>
      <c r="N39" s="206"/>
      <c r="O39" s="206"/>
      <c r="P39" s="208"/>
      <c r="S39" s="211"/>
    </row>
    <row r="40" spans="1:19" s="210" customFormat="1" ht="17.100000000000001" customHeight="1" x14ac:dyDescent="0.25">
      <c r="A40" s="203">
        <v>20</v>
      </c>
      <c r="B40" s="204" t="s">
        <v>108</v>
      </c>
      <c r="C40" s="114" t="s">
        <v>469</v>
      </c>
      <c r="D40" s="113" t="s">
        <v>110</v>
      </c>
      <c r="E40" s="376">
        <v>20</v>
      </c>
      <c r="F40" s="205"/>
      <c r="G40" s="206"/>
      <c r="H40" s="207"/>
      <c r="I40" s="206"/>
      <c r="J40" s="206"/>
      <c r="K40" s="208"/>
      <c r="L40" s="209"/>
      <c r="M40" s="206"/>
      <c r="N40" s="206"/>
      <c r="O40" s="206"/>
      <c r="P40" s="208"/>
      <c r="S40" s="211"/>
    </row>
    <row r="41" spans="1:19" s="210" customFormat="1" ht="17.100000000000001" customHeight="1" x14ac:dyDescent="0.25">
      <c r="A41" s="203">
        <v>21</v>
      </c>
      <c r="B41" s="204" t="s">
        <v>108</v>
      </c>
      <c r="C41" s="114" t="s">
        <v>470</v>
      </c>
      <c r="D41" s="113" t="s">
        <v>112</v>
      </c>
      <c r="E41" s="376">
        <v>28</v>
      </c>
      <c r="F41" s="205"/>
      <c r="G41" s="206"/>
      <c r="H41" s="207"/>
      <c r="I41" s="212"/>
      <c r="J41" s="206"/>
      <c r="K41" s="208"/>
      <c r="L41" s="209"/>
      <c r="M41" s="206"/>
      <c r="N41" s="206"/>
      <c r="O41" s="206"/>
      <c r="P41" s="208"/>
      <c r="S41" s="211"/>
    </row>
    <row r="42" spans="1:19" s="210" customFormat="1" ht="23.25" customHeight="1" x14ac:dyDescent="0.25">
      <c r="A42" s="203">
        <v>22</v>
      </c>
      <c r="B42" s="204" t="s">
        <v>108</v>
      </c>
      <c r="C42" s="114" t="s">
        <v>471</v>
      </c>
      <c r="D42" s="113" t="s">
        <v>112</v>
      </c>
      <c r="E42" s="376">
        <v>6</v>
      </c>
      <c r="F42" s="205"/>
      <c r="G42" s="206"/>
      <c r="H42" s="207"/>
      <c r="I42" s="212"/>
      <c r="J42" s="206"/>
      <c r="K42" s="208"/>
      <c r="L42" s="209"/>
      <c r="M42" s="206"/>
      <c r="N42" s="206"/>
      <c r="O42" s="206"/>
      <c r="P42" s="208"/>
      <c r="S42" s="211"/>
    </row>
    <row r="43" spans="1:19" s="210" customFormat="1" ht="17.100000000000001" customHeight="1" x14ac:dyDescent="0.25">
      <c r="A43" s="203">
        <v>23</v>
      </c>
      <c r="B43" s="204" t="s">
        <v>108</v>
      </c>
      <c r="C43" s="114" t="s">
        <v>194</v>
      </c>
      <c r="D43" s="113" t="s">
        <v>112</v>
      </c>
      <c r="E43" s="376">
        <v>1</v>
      </c>
      <c r="F43" s="205"/>
      <c r="G43" s="206"/>
      <c r="H43" s="207"/>
      <c r="I43" s="206"/>
      <c r="J43" s="206"/>
      <c r="K43" s="208"/>
      <c r="L43" s="209"/>
      <c r="M43" s="206"/>
      <c r="N43" s="206"/>
      <c r="O43" s="206"/>
      <c r="P43" s="208"/>
      <c r="S43" s="211"/>
    </row>
    <row r="44" spans="1:19" s="210" customFormat="1" ht="17.100000000000001" customHeight="1" x14ac:dyDescent="0.25">
      <c r="A44" s="203">
        <v>24</v>
      </c>
      <c r="B44" s="204" t="s">
        <v>108</v>
      </c>
      <c r="C44" s="114" t="s">
        <v>472</v>
      </c>
      <c r="D44" s="113" t="s">
        <v>473</v>
      </c>
      <c r="E44" s="376">
        <v>1</v>
      </c>
      <c r="F44" s="205"/>
      <c r="G44" s="206"/>
      <c r="H44" s="207"/>
      <c r="I44" s="212"/>
      <c r="J44" s="206"/>
      <c r="K44" s="208"/>
      <c r="L44" s="209"/>
      <c r="M44" s="206"/>
      <c r="N44" s="206"/>
      <c r="O44" s="206"/>
      <c r="P44" s="208"/>
      <c r="S44" s="211"/>
    </row>
    <row r="45" spans="1:19" s="210" customFormat="1" ht="48" customHeight="1" x14ac:dyDescent="0.25">
      <c r="A45" s="203">
        <v>25</v>
      </c>
      <c r="B45" s="204" t="s">
        <v>108</v>
      </c>
      <c r="C45" s="114" t="s">
        <v>682</v>
      </c>
      <c r="D45" s="113" t="s">
        <v>114</v>
      </c>
      <c r="E45" s="376">
        <v>17</v>
      </c>
      <c r="F45" s="205"/>
      <c r="G45" s="206"/>
      <c r="H45" s="207"/>
      <c r="I45" s="212"/>
      <c r="J45" s="206"/>
      <c r="K45" s="208"/>
      <c r="L45" s="209"/>
      <c r="M45" s="206"/>
      <c r="N45" s="206"/>
      <c r="O45" s="206"/>
      <c r="P45" s="208"/>
      <c r="S45" s="211"/>
    </row>
    <row r="46" spans="1:19" ht="19.350000000000001" customHeight="1" x14ac:dyDescent="0.25">
      <c r="A46" s="213"/>
      <c r="B46" s="214"/>
      <c r="C46" s="214"/>
      <c r="D46" s="214"/>
      <c r="E46" s="215"/>
      <c r="F46" s="213"/>
      <c r="G46" s="214"/>
      <c r="H46" s="214"/>
      <c r="I46" s="214"/>
      <c r="J46" s="214"/>
      <c r="K46" s="216"/>
      <c r="L46" s="217"/>
      <c r="M46" s="214"/>
      <c r="N46" s="214"/>
      <c r="O46" s="214"/>
      <c r="P46" s="216"/>
    </row>
    <row r="47" spans="1:19" ht="17.850000000000001" customHeight="1" x14ac:dyDescent="0.25">
      <c r="A47" s="218"/>
      <c r="B47" s="219"/>
      <c r="C47" s="432" t="s">
        <v>136</v>
      </c>
      <c r="D47" s="432"/>
      <c r="E47" s="432"/>
      <c r="F47" s="432"/>
      <c r="G47" s="432"/>
      <c r="H47" s="432"/>
      <c r="I47" s="432"/>
      <c r="J47" s="432"/>
      <c r="K47" s="432"/>
      <c r="L47" s="220">
        <f>SUM(L21:L46)</f>
        <v>0</v>
      </c>
      <c r="M47" s="221">
        <f>SUM(M21:M46)</f>
        <v>0</v>
      </c>
      <c r="N47" s="221">
        <f>SUM(N21:N46)</f>
        <v>0</v>
      </c>
      <c r="O47" s="221">
        <f>SUM(O21:O46)</f>
        <v>0</v>
      </c>
      <c r="P47" s="222">
        <f>SUM(P21:P46)</f>
        <v>0</v>
      </c>
    </row>
    <row r="48" spans="1:19" ht="10.9" customHeight="1" x14ac:dyDescent="0.25"/>
    <row r="49" spans="2:6" ht="17.850000000000001" customHeight="1" x14ac:dyDescent="0.25">
      <c r="B49" s="183" t="s">
        <v>26</v>
      </c>
      <c r="C49" s="223">
        <f>KOPTAME!C58</f>
        <v>0</v>
      </c>
      <c r="E49" s="186">
        <f>'KOPS 1'!F42</f>
        <v>0</v>
      </c>
    </row>
    <row r="50" spans="2:6" ht="17.850000000000001" customHeight="1" x14ac:dyDescent="0.25">
      <c r="C50" s="187" t="s">
        <v>86</v>
      </c>
      <c r="E50" s="187"/>
    </row>
    <row r="51" spans="2:6" ht="5.45" customHeight="1" x14ac:dyDescent="0.25">
      <c r="E51" s="187"/>
    </row>
    <row r="52" spans="2:6" ht="17.850000000000001" customHeight="1" x14ac:dyDescent="0.25">
      <c r="B52" s="184"/>
      <c r="C52" s="224"/>
      <c r="D52" s="187"/>
      <c r="E52" s="187"/>
      <c r="F52" s="189"/>
    </row>
    <row r="53" spans="2:6" ht="6" customHeight="1" x14ac:dyDescent="0.25">
      <c r="E53" s="187"/>
    </row>
    <row r="54" spans="2:6" ht="17.850000000000001" customHeight="1" x14ac:dyDescent="0.25">
      <c r="B54" s="183" t="s">
        <v>28</v>
      </c>
      <c r="C54" s="223">
        <f>KOPTAME!C63</f>
        <v>0</v>
      </c>
      <c r="E54" s="186">
        <f>E49</f>
        <v>0</v>
      </c>
    </row>
    <row r="55" spans="2:6" ht="17.850000000000001" customHeight="1" x14ac:dyDescent="0.25">
      <c r="C55" s="187" t="s">
        <v>86</v>
      </c>
    </row>
    <row r="56" spans="2:6" ht="7.9" customHeight="1" x14ac:dyDescent="0.25"/>
    <row r="57" spans="2:6" ht="17.850000000000001" customHeight="1" x14ac:dyDescent="0.25">
      <c r="C57" s="183">
        <f>KOPTAME!C68</f>
        <v>0</v>
      </c>
    </row>
    <row r="58" spans="2:6" ht="7.15" customHeight="1" x14ac:dyDescent="0.25"/>
    <row r="59" spans="2:6" ht="17.850000000000001" customHeight="1" x14ac:dyDescent="0.25">
      <c r="C59" s="183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47:K47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MJ86"/>
  <sheetViews>
    <sheetView view="pageBreakPreview" topLeftCell="A18" zoomScaleNormal="100" workbookViewId="0">
      <selection activeCell="I70" sqref="I70"/>
    </sheetView>
  </sheetViews>
  <sheetFormatPr defaultColWidth="9.140625" defaultRowHeight="15" x14ac:dyDescent="0.25"/>
  <cols>
    <col min="1" max="1" width="6.28515625" style="183" customWidth="1"/>
    <col min="2" max="2" width="9.28515625" style="183" customWidth="1"/>
    <col min="3" max="3" width="32.85546875" style="183" customWidth="1"/>
    <col min="4" max="4" width="8" style="183" customWidth="1"/>
    <col min="5" max="5" width="7.140625" style="183" customWidth="1"/>
    <col min="6" max="6" width="9.140625" style="183"/>
    <col min="7" max="7" width="7.140625" style="183" customWidth="1"/>
    <col min="8" max="8" width="8.42578125" style="183" customWidth="1"/>
    <col min="9" max="9" width="8.28515625" style="183" customWidth="1"/>
    <col min="10" max="10" width="9.140625" style="183"/>
    <col min="11" max="11" width="8.28515625" style="183" customWidth="1"/>
    <col min="12" max="12" width="7.85546875" style="183" customWidth="1"/>
    <col min="13" max="1024" width="9.140625" style="183"/>
  </cols>
  <sheetData>
    <row r="1" spans="1:16" x14ac:dyDescent="0.25">
      <c r="M1" s="438" t="s">
        <v>87</v>
      </c>
      <c r="N1" s="438"/>
      <c r="O1" s="438"/>
      <c r="P1" s="438"/>
    </row>
    <row r="2" spans="1:16" x14ac:dyDescent="0.25">
      <c r="E2" s="441" t="s">
        <v>88</v>
      </c>
      <c r="F2" s="441"/>
      <c r="G2" s="441"/>
      <c r="H2" s="441"/>
      <c r="I2" s="185" t="s">
        <v>647</v>
      </c>
    </row>
    <row r="3" spans="1:16" x14ac:dyDescent="0.25">
      <c r="D3" s="442" t="s">
        <v>67</v>
      </c>
      <c r="E3" s="442"/>
      <c r="F3" s="442"/>
      <c r="G3" s="442"/>
      <c r="H3" s="442"/>
      <c r="I3" s="442"/>
      <c r="J3" s="442"/>
      <c r="K3" s="442"/>
      <c r="L3" s="442"/>
      <c r="M3" s="442"/>
    </row>
    <row r="4" spans="1:16" x14ac:dyDescent="0.25">
      <c r="D4" s="443" t="s">
        <v>89</v>
      </c>
      <c r="E4" s="443"/>
      <c r="F4" s="443"/>
      <c r="G4" s="443"/>
      <c r="H4" s="443"/>
      <c r="I4" s="443"/>
      <c r="J4" s="443"/>
      <c r="K4" s="443"/>
      <c r="L4" s="443"/>
      <c r="M4" s="443"/>
    </row>
    <row r="5" spans="1:16" ht="9" customHeight="1" x14ac:dyDescent="0.25"/>
    <row r="6" spans="1:16" x14ac:dyDescent="0.25">
      <c r="A6" s="438" t="s">
        <v>10</v>
      </c>
      <c r="B6" s="438"/>
      <c r="C6" s="439" t="str">
        <f>KOPTAME!C15</f>
        <v>VALGUNDES PAGASTA PĀRVALDES ĒKAS ENERGOEFEKTIVITĀTES PAAGUSTINĀŠANA</v>
      </c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</row>
    <row r="7" spans="1:16" x14ac:dyDescent="0.25">
      <c r="A7" s="438" t="s">
        <v>12</v>
      </c>
      <c r="B7" s="438"/>
      <c r="C7" s="439" t="str">
        <f>KOPTAME!C16</f>
        <v>VALGUNDES PAGASTA PĀRVALDES ĒKA</v>
      </c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39"/>
    </row>
    <row r="8" spans="1:16" x14ac:dyDescent="0.25">
      <c r="A8" s="438" t="s">
        <v>14</v>
      </c>
      <c r="B8" s="438"/>
      <c r="C8" s="439" t="str">
        <f>KOPTAME!C17</f>
        <v>CELTNIEKU IELA 35, VALGUNDE, JELGAVAS NOVADS</v>
      </c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39"/>
    </row>
    <row r="9" spans="1:16" x14ac:dyDescent="0.25">
      <c r="A9" s="438" t="s">
        <v>16</v>
      </c>
      <c r="B9" s="438"/>
      <c r="C9" s="439" t="str">
        <f>KOPTAME!C18</f>
        <v>JELGAVAS NOVADA PAŠVALDĪBA</v>
      </c>
      <c r="D9" s="439"/>
      <c r="E9" s="439"/>
      <c r="F9" s="439"/>
      <c r="G9" s="439"/>
      <c r="H9" s="439"/>
      <c r="I9" s="439"/>
      <c r="J9" s="439"/>
      <c r="K9" s="439"/>
      <c r="L9" s="439"/>
      <c r="M9" s="439"/>
      <c r="N9" s="439"/>
      <c r="O9" s="439"/>
      <c r="P9" s="439"/>
    </row>
    <row r="10" spans="1:16" x14ac:dyDescent="0.25">
      <c r="A10" s="438" t="s">
        <v>18</v>
      </c>
      <c r="B10" s="438"/>
      <c r="C10" s="439" t="str">
        <f>KOPTAME!C19</f>
        <v>23-019/3   (KPJ/2023/31-5)</v>
      </c>
      <c r="D10" s="439"/>
      <c r="E10" s="439"/>
      <c r="F10" s="439"/>
      <c r="G10" s="439"/>
      <c r="H10" s="439"/>
      <c r="I10" s="439"/>
      <c r="J10" s="439"/>
      <c r="K10" s="439"/>
      <c r="L10" s="439"/>
      <c r="M10" s="439"/>
      <c r="N10" s="439"/>
      <c r="O10" s="439"/>
      <c r="P10" s="439"/>
    </row>
    <row r="11" spans="1:16" x14ac:dyDescent="0.25">
      <c r="A11" s="438" t="s">
        <v>19</v>
      </c>
      <c r="B11" s="438"/>
      <c r="C11" s="439">
        <f>KOPTAME!C20</f>
        <v>0</v>
      </c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</row>
    <row r="13" spans="1:16" x14ac:dyDescent="0.25">
      <c r="A13" s="440">
        <f>KOPTAME!B22</f>
        <v>0</v>
      </c>
      <c r="B13" s="440"/>
      <c r="C13" s="440"/>
      <c r="D13" s="440"/>
      <c r="E13" s="440"/>
      <c r="F13" s="440"/>
      <c r="G13" s="440"/>
      <c r="H13" s="440"/>
      <c r="I13" s="440"/>
      <c r="J13" s="440"/>
      <c r="K13" s="440"/>
      <c r="M13" s="439" t="s">
        <v>90</v>
      </c>
      <c r="N13" s="439"/>
      <c r="O13" s="188">
        <f>P74</f>
        <v>0</v>
      </c>
      <c r="P13" s="187" t="s">
        <v>91</v>
      </c>
    </row>
    <row r="14" spans="1:16" x14ac:dyDescent="0.25">
      <c r="A14" s="440"/>
      <c r="B14" s="440"/>
      <c r="C14" s="440"/>
      <c r="D14" s="440"/>
      <c r="E14" s="440"/>
      <c r="F14" s="440"/>
      <c r="G14" s="440"/>
      <c r="H14" s="440"/>
      <c r="I14" s="440"/>
      <c r="J14" s="440"/>
      <c r="K14" s="440"/>
      <c r="M14" s="187"/>
      <c r="N14" s="187"/>
      <c r="O14" s="189"/>
      <c r="P14" s="187"/>
    </row>
    <row r="15" spans="1:16" x14ac:dyDescent="0.25">
      <c r="L15" s="184"/>
      <c r="M15" s="187"/>
      <c r="N15" s="187"/>
      <c r="O15" s="189"/>
      <c r="P15" s="184">
        <f>KOPTAME!C70</f>
        <v>0</v>
      </c>
    </row>
    <row r="17" spans="1:19" ht="15" customHeight="1" x14ac:dyDescent="0.25">
      <c r="A17" s="433" t="s">
        <v>92</v>
      </c>
      <c r="B17" s="434" t="s">
        <v>93</v>
      </c>
      <c r="C17" s="435" t="s">
        <v>94</v>
      </c>
      <c r="D17" s="436" t="s">
        <v>95</v>
      </c>
      <c r="E17" s="437" t="s">
        <v>96</v>
      </c>
      <c r="F17" s="430" t="s">
        <v>97</v>
      </c>
      <c r="G17" s="430"/>
      <c r="H17" s="430"/>
      <c r="I17" s="430"/>
      <c r="J17" s="430"/>
      <c r="K17" s="430"/>
      <c r="L17" s="431" t="s">
        <v>98</v>
      </c>
      <c r="M17" s="431"/>
      <c r="N17" s="431"/>
      <c r="O17" s="431"/>
      <c r="P17" s="431"/>
    </row>
    <row r="18" spans="1:19" ht="58.15" customHeight="1" x14ac:dyDescent="0.25">
      <c r="A18" s="433"/>
      <c r="B18" s="434"/>
      <c r="C18" s="435"/>
      <c r="D18" s="436"/>
      <c r="E18" s="437"/>
      <c r="F18" s="190" t="s">
        <v>99</v>
      </c>
      <c r="G18" s="191" t="s">
        <v>100</v>
      </c>
      <c r="H18" s="191" t="s">
        <v>101</v>
      </c>
      <c r="I18" s="191" t="s">
        <v>102</v>
      </c>
      <c r="J18" s="191" t="s">
        <v>103</v>
      </c>
      <c r="K18" s="192" t="s">
        <v>104</v>
      </c>
      <c r="L18" s="193" t="s">
        <v>105</v>
      </c>
      <c r="M18" s="191" t="s">
        <v>101</v>
      </c>
      <c r="N18" s="191" t="s">
        <v>102</v>
      </c>
      <c r="O18" s="191" t="s">
        <v>103</v>
      </c>
      <c r="P18" s="192" t="s">
        <v>106</v>
      </c>
    </row>
    <row r="19" spans="1:19" ht="18.600000000000001" customHeight="1" x14ac:dyDescent="0.25">
      <c r="A19" s="194">
        <v>1</v>
      </c>
      <c r="B19" s="195">
        <v>2</v>
      </c>
      <c r="C19" s="195">
        <v>3</v>
      </c>
      <c r="D19" s="195">
        <v>4</v>
      </c>
      <c r="E19" s="196">
        <v>5</v>
      </c>
      <c r="F19" s="194">
        <v>6</v>
      </c>
      <c r="G19" s="195">
        <v>7</v>
      </c>
      <c r="H19" s="195">
        <v>8</v>
      </c>
      <c r="I19" s="195">
        <v>9</v>
      </c>
      <c r="J19" s="195">
        <v>10</v>
      </c>
      <c r="K19" s="197">
        <v>11</v>
      </c>
      <c r="L19" s="198">
        <v>12</v>
      </c>
      <c r="M19" s="195">
        <v>13</v>
      </c>
      <c r="N19" s="195">
        <v>14</v>
      </c>
      <c r="O19" s="195">
        <v>15</v>
      </c>
      <c r="P19" s="197">
        <v>16</v>
      </c>
    </row>
    <row r="20" spans="1:19" ht="18.600000000000001" customHeight="1" x14ac:dyDescent="0.25">
      <c r="A20" s="199"/>
      <c r="B20" s="200"/>
      <c r="C20" s="373" t="s">
        <v>474</v>
      </c>
      <c r="D20" s="374"/>
      <c r="E20" s="375"/>
      <c r="F20" s="199"/>
      <c r="G20" s="200"/>
      <c r="H20" s="200"/>
      <c r="I20" s="200"/>
      <c r="J20" s="200"/>
      <c r="K20" s="201"/>
      <c r="L20" s="202"/>
      <c r="M20" s="200"/>
      <c r="N20" s="200"/>
      <c r="O20" s="200"/>
      <c r="P20" s="201"/>
    </row>
    <row r="21" spans="1:19" s="210" customFormat="1" ht="40.5" customHeight="1" x14ac:dyDescent="0.25">
      <c r="A21" s="203">
        <v>1</v>
      </c>
      <c r="B21" s="204" t="s">
        <v>108</v>
      </c>
      <c r="C21" s="114" t="s">
        <v>732</v>
      </c>
      <c r="D21" s="113" t="s">
        <v>112</v>
      </c>
      <c r="E21" s="376">
        <v>1</v>
      </c>
      <c r="F21" s="205"/>
      <c r="G21" s="206"/>
      <c r="H21" s="207"/>
      <c r="I21" s="206"/>
      <c r="J21" s="206"/>
      <c r="K21" s="208"/>
      <c r="L21" s="209"/>
      <c r="M21" s="206"/>
      <c r="N21" s="206"/>
      <c r="O21" s="206"/>
      <c r="P21" s="208"/>
      <c r="S21" s="211"/>
    </row>
    <row r="22" spans="1:19" s="210" customFormat="1" ht="40.5" customHeight="1" x14ac:dyDescent="0.25">
      <c r="A22" s="203">
        <v>2</v>
      </c>
      <c r="B22" s="204" t="s">
        <v>108</v>
      </c>
      <c r="C22" s="114" t="s">
        <v>731</v>
      </c>
      <c r="D22" s="113" t="s">
        <v>114</v>
      </c>
      <c r="E22" s="376">
        <v>1</v>
      </c>
      <c r="F22" s="205"/>
      <c r="G22" s="206"/>
      <c r="H22" s="207"/>
      <c r="I22" s="206"/>
      <c r="J22" s="206"/>
      <c r="K22" s="208"/>
      <c r="L22" s="209"/>
      <c r="M22" s="206"/>
      <c r="N22" s="206"/>
      <c r="O22" s="206"/>
      <c r="P22" s="208"/>
      <c r="S22" s="211"/>
    </row>
    <row r="23" spans="1:19" s="210" customFormat="1" ht="40.5" customHeight="1" x14ac:dyDescent="0.25">
      <c r="A23" s="203">
        <v>3</v>
      </c>
      <c r="B23" s="204" t="s">
        <v>108</v>
      </c>
      <c r="C23" s="114" t="s">
        <v>730</v>
      </c>
      <c r="D23" s="113" t="s">
        <v>114</v>
      </c>
      <c r="E23" s="376">
        <v>1</v>
      </c>
      <c r="F23" s="205"/>
      <c r="G23" s="206"/>
      <c r="H23" s="207"/>
      <c r="I23" s="212"/>
      <c r="J23" s="206"/>
      <c r="K23" s="208"/>
      <c r="L23" s="209"/>
      <c r="M23" s="206"/>
      <c r="N23" s="206"/>
      <c r="O23" s="206"/>
      <c r="P23" s="208"/>
      <c r="S23" s="211"/>
    </row>
    <row r="24" spans="1:19" s="210" customFormat="1" ht="45.6" customHeight="1" x14ac:dyDescent="0.25">
      <c r="A24" s="203">
        <v>4</v>
      </c>
      <c r="B24" s="204" t="s">
        <v>108</v>
      </c>
      <c r="C24" s="114" t="s">
        <v>729</v>
      </c>
      <c r="D24" s="113" t="s">
        <v>114</v>
      </c>
      <c r="E24" s="376">
        <v>1</v>
      </c>
      <c r="F24" s="205"/>
      <c r="G24" s="206"/>
      <c r="H24" s="207"/>
      <c r="I24" s="212"/>
      <c r="J24" s="206"/>
      <c r="K24" s="208"/>
      <c r="L24" s="209"/>
      <c r="M24" s="206"/>
      <c r="N24" s="206"/>
      <c r="O24" s="206"/>
      <c r="P24" s="208"/>
      <c r="S24" s="211"/>
    </row>
    <row r="25" spans="1:19" s="210" customFormat="1" ht="45.6" customHeight="1" x14ac:dyDescent="0.25">
      <c r="A25" s="203">
        <v>5</v>
      </c>
      <c r="B25" s="204" t="s">
        <v>108</v>
      </c>
      <c r="C25" s="114" t="s">
        <v>729</v>
      </c>
      <c r="D25" s="113" t="s">
        <v>114</v>
      </c>
      <c r="E25" s="376">
        <v>1</v>
      </c>
      <c r="F25" s="205"/>
      <c r="G25" s="206"/>
      <c r="H25" s="207"/>
      <c r="I25" s="212"/>
      <c r="J25" s="206"/>
      <c r="K25" s="208"/>
      <c r="L25" s="209"/>
      <c r="M25" s="206"/>
      <c r="N25" s="206"/>
      <c r="O25" s="206"/>
      <c r="P25" s="208"/>
      <c r="S25" s="211"/>
    </row>
    <row r="26" spans="1:19" s="210" customFormat="1" ht="45.6" customHeight="1" x14ac:dyDescent="0.25">
      <c r="A26" s="203">
        <v>6</v>
      </c>
      <c r="B26" s="204" t="s">
        <v>108</v>
      </c>
      <c r="C26" s="114" t="s">
        <v>728</v>
      </c>
      <c r="D26" s="113" t="s">
        <v>112</v>
      </c>
      <c r="E26" s="376">
        <v>1</v>
      </c>
      <c r="F26" s="205"/>
      <c r="G26" s="206"/>
      <c r="H26" s="207"/>
      <c r="I26" s="212"/>
      <c r="J26" s="206"/>
      <c r="K26" s="208"/>
      <c r="L26" s="209"/>
      <c r="M26" s="206"/>
      <c r="N26" s="206"/>
      <c r="O26" s="206"/>
      <c r="P26" s="208"/>
      <c r="S26" s="211"/>
    </row>
    <row r="27" spans="1:19" s="210" customFormat="1" ht="45.6" customHeight="1" x14ac:dyDescent="0.25">
      <c r="A27" s="203">
        <v>7</v>
      </c>
      <c r="B27" s="204" t="s">
        <v>108</v>
      </c>
      <c r="C27" s="114" t="s">
        <v>727</v>
      </c>
      <c r="D27" s="113" t="s">
        <v>114</v>
      </c>
      <c r="E27" s="376">
        <v>1</v>
      </c>
      <c r="F27" s="205"/>
      <c r="G27" s="206"/>
      <c r="H27" s="207"/>
      <c r="I27" s="212"/>
      <c r="J27" s="206"/>
      <c r="K27" s="208"/>
      <c r="L27" s="209"/>
      <c r="M27" s="206"/>
      <c r="N27" s="206"/>
      <c r="O27" s="206"/>
      <c r="P27" s="208"/>
      <c r="S27" s="211"/>
    </row>
    <row r="28" spans="1:19" s="210" customFormat="1" ht="44.25" customHeight="1" x14ac:dyDescent="0.25">
      <c r="A28" s="203">
        <v>8</v>
      </c>
      <c r="B28" s="204" t="s">
        <v>108</v>
      </c>
      <c r="C28" s="114" t="s">
        <v>726</v>
      </c>
      <c r="D28" s="113" t="s">
        <v>112</v>
      </c>
      <c r="E28" s="376">
        <v>1</v>
      </c>
      <c r="F28" s="205"/>
      <c r="G28" s="206"/>
      <c r="H28" s="207"/>
      <c r="I28" s="212"/>
      <c r="J28" s="206"/>
      <c r="K28" s="208"/>
      <c r="L28" s="209"/>
      <c r="M28" s="206"/>
      <c r="N28" s="206"/>
      <c r="O28" s="206"/>
      <c r="P28" s="208"/>
      <c r="S28" s="211"/>
    </row>
    <row r="29" spans="1:19" s="210" customFormat="1" ht="45.6" customHeight="1" x14ac:dyDescent="0.25">
      <c r="A29" s="203">
        <v>9</v>
      </c>
      <c r="B29" s="204" t="s">
        <v>108</v>
      </c>
      <c r="C29" s="114" t="s">
        <v>724</v>
      </c>
      <c r="D29" s="113" t="s">
        <v>114</v>
      </c>
      <c r="E29" s="376">
        <v>1</v>
      </c>
      <c r="F29" s="205"/>
      <c r="G29" s="206"/>
      <c r="H29" s="207"/>
      <c r="I29" s="206"/>
      <c r="J29" s="206"/>
      <c r="K29" s="208"/>
      <c r="L29" s="209"/>
      <c r="M29" s="206"/>
      <c r="N29" s="206"/>
      <c r="O29" s="206"/>
      <c r="P29" s="208"/>
      <c r="S29" s="211"/>
    </row>
    <row r="30" spans="1:19" s="210" customFormat="1" ht="27.6" customHeight="1" x14ac:dyDescent="0.25">
      <c r="A30" s="203">
        <v>10</v>
      </c>
      <c r="B30" s="204" t="s">
        <v>108</v>
      </c>
      <c r="C30" s="114" t="s">
        <v>725</v>
      </c>
      <c r="D30" s="113" t="s">
        <v>114</v>
      </c>
      <c r="E30" s="376">
        <v>2</v>
      </c>
      <c r="F30" s="205"/>
      <c r="G30" s="206"/>
      <c r="H30" s="207"/>
      <c r="I30" s="206"/>
      <c r="J30" s="206"/>
      <c r="K30" s="208"/>
      <c r="L30" s="209"/>
      <c r="M30" s="206"/>
      <c r="N30" s="206"/>
      <c r="O30" s="206"/>
      <c r="P30" s="208"/>
      <c r="S30" s="211"/>
    </row>
    <row r="31" spans="1:19" s="210" customFormat="1" ht="18.600000000000001" customHeight="1" x14ac:dyDescent="0.25">
      <c r="A31" s="203">
        <v>11</v>
      </c>
      <c r="B31" s="204" t="s">
        <v>108</v>
      </c>
      <c r="C31" s="114" t="s">
        <v>475</v>
      </c>
      <c r="D31" s="113" t="s">
        <v>114</v>
      </c>
      <c r="E31" s="376">
        <v>1</v>
      </c>
      <c r="F31" s="205"/>
      <c r="G31" s="206"/>
      <c r="H31" s="207"/>
      <c r="I31" s="206"/>
      <c r="J31" s="206"/>
      <c r="K31" s="208"/>
      <c r="L31" s="209"/>
      <c r="M31" s="206"/>
      <c r="N31" s="206"/>
      <c r="O31" s="206"/>
      <c r="P31" s="208"/>
      <c r="S31" s="211"/>
    </row>
    <row r="32" spans="1:19" s="210" customFormat="1" ht="27" customHeight="1" x14ac:dyDescent="0.25">
      <c r="A32" s="203">
        <v>12</v>
      </c>
      <c r="B32" s="204" t="s">
        <v>108</v>
      </c>
      <c r="C32" s="114" t="s">
        <v>723</v>
      </c>
      <c r="D32" s="113" t="s">
        <v>114</v>
      </c>
      <c r="E32" s="376">
        <v>1</v>
      </c>
      <c r="F32" s="205"/>
      <c r="G32" s="206"/>
      <c r="H32" s="207"/>
      <c r="I32" s="206"/>
      <c r="J32" s="206"/>
      <c r="K32" s="208"/>
      <c r="L32" s="209"/>
      <c r="M32" s="206"/>
      <c r="N32" s="206"/>
      <c r="O32" s="206"/>
      <c r="P32" s="208"/>
      <c r="S32" s="211"/>
    </row>
    <row r="33" spans="1:19" s="210" customFormat="1" ht="30" customHeight="1" x14ac:dyDescent="0.25">
      <c r="A33" s="203">
        <v>13</v>
      </c>
      <c r="B33" s="204" t="s">
        <v>108</v>
      </c>
      <c r="C33" s="114" t="s">
        <v>722</v>
      </c>
      <c r="D33" s="113" t="s">
        <v>114</v>
      </c>
      <c r="E33" s="376">
        <v>1</v>
      </c>
      <c r="F33" s="205"/>
      <c r="G33" s="206"/>
      <c r="H33" s="207"/>
      <c r="I33" s="212"/>
      <c r="J33" s="206"/>
      <c r="K33" s="208"/>
      <c r="L33" s="209"/>
      <c r="M33" s="206"/>
      <c r="N33" s="206"/>
      <c r="O33" s="206"/>
      <c r="P33" s="208"/>
      <c r="S33" s="211"/>
    </row>
    <row r="34" spans="1:19" s="210" customFormat="1" ht="30" customHeight="1" x14ac:dyDescent="0.25">
      <c r="A34" s="203">
        <v>14</v>
      </c>
      <c r="B34" s="204" t="s">
        <v>108</v>
      </c>
      <c r="C34" s="114" t="s">
        <v>476</v>
      </c>
      <c r="D34" s="113" t="s">
        <v>114</v>
      </c>
      <c r="E34" s="376">
        <v>2</v>
      </c>
      <c r="F34" s="205"/>
      <c r="G34" s="206"/>
      <c r="H34" s="207"/>
      <c r="I34" s="212"/>
      <c r="J34" s="206"/>
      <c r="K34" s="208"/>
      <c r="L34" s="209"/>
      <c r="M34" s="206"/>
      <c r="N34" s="206"/>
      <c r="O34" s="206"/>
      <c r="P34" s="208"/>
      <c r="S34" s="211"/>
    </row>
    <row r="35" spans="1:19" s="210" customFormat="1" ht="30" customHeight="1" x14ac:dyDescent="0.25">
      <c r="A35" s="203">
        <v>15</v>
      </c>
      <c r="B35" s="204" t="s">
        <v>108</v>
      </c>
      <c r="C35" s="114" t="s">
        <v>721</v>
      </c>
      <c r="D35" s="113" t="s">
        <v>114</v>
      </c>
      <c r="E35" s="376">
        <v>1</v>
      </c>
      <c r="F35" s="205"/>
      <c r="G35" s="206"/>
      <c r="H35" s="207"/>
      <c r="I35" s="212"/>
      <c r="J35" s="206"/>
      <c r="K35" s="208"/>
      <c r="L35" s="209"/>
      <c r="M35" s="206"/>
      <c r="N35" s="206"/>
      <c r="O35" s="206"/>
      <c r="P35" s="208"/>
      <c r="S35" s="211"/>
    </row>
    <row r="36" spans="1:19" s="210" customFormat="1" ht="30" customHeight="1" x14ac:dyDescent="0.25">
      <c r="A36" s="203">
        <v>16</v>
      </c>
      <c r="B36" s="204" t="s">
        <v>108</v>
      </c>
      <c r="C36" s="114" t="s">
        <v>477</v>
      </c>
      <c r="D36" s="113" t="s">
        <v>114</v>
      </c>
      <c r="E36" s="376">
        <v>1</v>
      </c>
      <c r="F36" s="205"/>
      <c r="G36" s="206"/>
      <c r="H36" s="207"/>
      <c r="I36" s="212"/>
      <c r="J36" s="206"/>
      <c r="K36" s="208"/>
      <c r="L36" s="209"/>
      <c r="M36" s="206"/>
      <c r="N36" s="206"/>
      <c r="O36" s="206"/>
      <c r="P36" s="208"/>
      <c r="S36" s="211"/>
    </row>
    <row r="37" spans="1:19" s="210" customFormat="1" ht="30" customHeight="1" x14ac:dyDescent="0.25">
      <c r="A37" s="203">
        <v>17</v>
      </c>
      <c r="B37" s="204" t="s">
        <v>108</v>
      </c>
      <c r="C37" s="114" t="s">
        <v>720</v>
      </c>
      <c r="D37" s="113" t="s">
        <v>114</v>
      </c>
      <c r="E37" s="376">
        <v>1</v>
      </c>
      <c r="F37" s="205"/>
      <c r="G37" s="206"/>
      <c r="H37" s="207"/>
      <c r="I37" s="212"/>
      <c r="J37" s="206"/>
      <c r="K37" s="208"/>
      <c r="L37" s="209"/>
      <c r="M37" s="206"/>
      <c r="N37" s="206"/>
      <c r="O37" s="206"/>
      <c r="P37" s="208"/>
      <c r="S37" s="211"/>
    </row>
    <row r="38" spans="1:19" s="210" customFormat="1" ht="18.600000000000001" customHeight="1" x14ac:dyDescent="0.25">
      <c r="A38" s="203">
        <v>18</v>
      </c>
      <c r="B38" s="204" t="s">
        <v>108</v>
      </c>
      <c r="C38" s="114" t="s">
        <v>478</v>
      </c>
      <c r="D38" s="113" t="s">
        <v>114</v>
      </c>
      <c r="E38" s="376">
        <v>1</v>
      </c>
      <c r="F38" s="205"/>
      <c r="G38" s="206"/>
      <c r="H38" s="207"/>
      <c r="I38" s="212"/>
      <c r="J38" s="206"/>
      <c r="K38" s="208"/>
      <c r="L38" s="209"/>
      <c r="M38" s="206"/>
      <c r="N38" s="206"/>
      <c r="O38" s="206"/>
      <c r="P38" s="208"/>
      <c r="S38" s="211"/>
    </row>
    <row r="39" spans="1:19" s="210" customFormat="1" ht="30" customHeight="1" x14ac:dyDescent="0.25">
      <c r="A39" s="203">
        <v>19</v>
      </c>
      <c r="B39" s="204" t="s">
        <v>108</v>
      </c>
      <c r="C39" s="114" t="s">
        <v>479</v>
      </c>
      <c r="D39" s="113" t="s">
        <v>114</v>
      </c>
      <c r="E39" s="376">
        <v>2</v>
      </c>
      <c r="F39" s="205"/>
      <c r="G39" s="206"/>
      <c r="H39" s="207"/>
      <c r="I39" s="206"/>
      <c r="J39" s="206"/>
      <c r="K39" s="208"/>
      <c r="L39" s="209"/>
      <c r="M39" s="206"/>
      <c r="N39" s="206"/>
      <c r="O39" s="206"/>
      <c r="P39" s="208"/>
      <c r="S39" s="211"/>
    </row>
    <row r="40" spans="1:19" s="210" customFormat="1" ht="27.6" customHeight="1" x14ac:dyDescent="0.25">
      <c r="A40" s="203">
        <v>20</v>
      </c>
      <c r="B40" s="204" t="s">
        <v>108</v>
      </c>
      <c r="C40" s="114" t="s">
        <v>480</v>
      </c>
      <c r="D40" s="113" t="s">
        <v>114</v>
      </c>
      <c r="E40" s="376">
        <v>6</v>
      </c>
      <c r="F40" s="205"/>
      <c r="G40" s="206"/>
      <c r="H40" s="207"/>
      <c r="I40" s="206"/>
      <c r="J40" s="206"/>
      <c r="K40" s="208"/>
      <c r="L40" s="209"/>
      <c r="M40" s="206"/>
      <c r="N40" s="206"/>
      <c r="O40" s="206"/>
      <c r="P40" s="208"/>
      <c r="S40" s="211"/>
    </row>
    <row r="41" spans="1:19" s="210" customFormat="1" ht="27.6" customHeight="1" x14ac:dyDescent="0.25">
      <c r="A41" s="203">
        <v>21</v>
      </c>
      <c r="B41" s="204" t="s">
        <v>108</v>
      </c>
      <c r="C41" s="114" t="s">
        <v>719</v>
      </c>
      <c r="D41" s="113" t="s">
        <v>114</v>
      </c>
      <c r="E41" s="376">
        <v>8</v>
      </c>
      <c r="F41" s="205"/>
      <c r="G41" s="206"/>
      <c r="H41" s="207"/>
      <c r="I41" s="212"/>
      <c r="J41" s="206"/>
      <c r="K41" s="208"/>
      <c r="L41" s="209"/>
      <c r="M41" s="206"/>
      <c r="N41" s="206"/>
      <c r="O41" s="206"/>
      <c r="P41" s="208"/>
      <c r="S41" s="211"/>
    </row>
    <row r="42" spans="1:19" s="210" customFormat="1" ht="27.6" customHeight="1" x14ac:dyDescent="0.25">
      <c r="A42" s="203">
        <v>22</v>
      </c>
      <c r="B42" s="204" t="s">
        <v>108</v>
      </c>
      <c r="C42" s="114" t="s">
        <v>718</v>
      </c>
      <c r="D42" s="113" t="s">
        <v>114</v>
      </c>
      <c r="E42" s="376">
        <v>8</v>
      </c>
      <c r="F42" s="205"/>
      <c r="G42" s="206"/>
      <c r="H42" s="207"/>
      <c r="I42" s="212"/>
      <c r="J42" s="206"/>
      <c r="K42" s="208"/>
      <c r="L42" s="209"/>
      <c r="M42" s="206"/>
      <c r="N42" s="206"/>
      <c r="O42" s="206"/>
      <c r="P42" s="208"/>
      <c r="S42" s="211"/>
    </row>
    <row r="43" spans="1:19" s="210" customFormat="1" ht="27.6" customHeight="1" x14ac:dyDescent="0.25">
      <c r="A43" s="203">
        <v>23</v>
      </c>
      <c r="B43" s="204" t="s">
        <v>108</v>
      </c>
      <c r="C43" s="114" t="s">
        <v>717</v>
      </c>
      <c r="D43" s="113" t="s">
        <v>114</v>
      </c>
      <c r="E43" s="376">
        <v>4</v>
      </c>
      <c r="F43" s="205"/>
      <c r="G43" s="206"/>
      <c r="H43" s="207"/>
      <c r="I43" s="206"/>
      <c r="J43" s="206"/>
      <c r="K43" s="208"/>
      <c r="L43" s="209"/>
      <c r="M43" s="206"/>
      <c r="N43" s="206"/>
      <c r="O43" s="206"/>
      <c r="P43" s="208"/>
      <c r="S43" s="211"/>
    </row>
    <row r="44" spans="1:19" s="210" customFormat="1" ht="27.6" customHeight="1" x14ac:dyDescent="0.25">
      <c r="A44" s="203">
        <v>24</v>
      </c>
      <c r="B44" s="204" t="s">
        <v>108</v>
      </c>
      <c r="C44" s="114" t="s">
        <v>716</v>
      </c>
      <c r="D44" s="113" t="s">
        <v>114</v>
      </c>
      <c r="E44" s="376">
        <v>1</v>
      </c>
      <c r="F44" s="205"/>
      <c r="G44" s="206"/>
      <c r="H44" s="207"/>
      <c r="I44" s="212"/>
      <c r="J44" s="206"/>
      <c r="K44" s="208"/>
      <c r="L44" s="209"/>
      <c r="M44" s="206"/>
      <c r="N44" s="206"/>
      <c r="O44" s="206"/>
      <c r="P44" s="208"/>
      <c r="S44" s="211"/>
    </row>
    <row r="45" spans="1:19" s="210" customFormat="1" ht="20.100000000000001" customHeight="1" x14ac:dyDescent="0.25">
      <c r="A45" s="203">
        <v>25</v>
      </c>
      <c r="B45" s="204" t="s">
        <v>108</v>
      </c>
      <c r="C45" s="225" t="s">
        <v>715</v>
      </c>
      <c r="D45" s="113" t="s">
        <v>114</v>
      </c>
      <c r="E45" s="376">
        <v>2</v>
      </c>
      <c r="F45" s="205"/>
      <c r="G45" s="206"/>
      <c r="H45" s="207"/>
      <c r="I45" s="212"/>
      <c r="J45" s="206"/>
      <c r="K45" s="208"/>
      <c r="L45" s="209"/>
      <c r="M45" s="206"/>
      <c r="N45" s="206"/>
      <c r="O45" s="206"/>
      <c r="P45" s="208"/>
      <c r="S45" s="211"/>
    </row>
    <row r="46" spans="1:19" s="210" customFormat="1" ht="25.9" customHeight="1" x14ac:dyDescent="0.25">
      <c r="A46" s="203">
        <v>26</v>
      </c>
      <c r="B46" s="204" t="s">
        <v>108</v>
      </c>
      <c r="C46" s="226" t="s">
        <v>714</v>
      </c>
      <c r="D46" s="113" t="s">
        <v>114</v>
      </c>
      <c r="E46" s="376">
        <v>4</v>
      </c>
      <c r="F46" s="205"/>
      <c r="G46" s="206"/>
      <c r="H46" s="207"/>
      <c r="I46" s="206"/>
      <c r="J46" s="206"/>
      <c r="K46" s="208"/>
      <c r="L46" s="209"/>
      <c r="M46" s="206"/>
      <c r="N46" s="206"/>
      <c r="O46" s="206"/>
      <c r="P46" s="208"/>
      <c r="S46" s="211"/>
    </row>
    <row r="47" spans="1:19" s="210" customFormat="1" ht="25.9" customHeight="1" x14ac:dyDescent="0.25">
      <c r="A47" s="203">
        <v>27</v>
      </c>
      <c r="B47" s="204" t="s">
        <v>108</v>
      </c>
      <c r="C47" s="226" t="s">
        <v>713</v>
      </c>
      <c r="D47" s="113" t="s">
        <v>114</v>
      </c>
      <c r="E47" s="376">
        <v>9</v>
      </c>
      <c r="F47" s="205"/>
      <c r="G47" s="206"/>
      <c r="H47" s="207"/>
      <c r="I47" s="206"/>
      <c r="J47" s="206"/>
      <c r="K47" s="208"/>
      <c r="L47" s="209"/>
      <c r="M47" s="206"/>
      <c r="N47" s="206"/>
      <c r="O47" s="206"/>
      <c r="P47" s="208"/>
      <c r="S47" s="211"/>
    </row>
    <row r="48" spans="1:19" s="210" customFormat="1" ht="25.9" customHeight="1" x14ac:dyDescent="0.25">
      <c r="A48" s="203">
        <v>28</v>
      </c>
      <c r="B48" s="204" t="s">
        <v>108</v>
      </c>
      <c r="C48" s="226" t="s">
        <v>707</v>
      </c>
      <c r="D48" s="113" t="s">
        <v>114</v>
      </c>
      <c r="E48" s="376">
        <v>8</v>
      </c>
      <c r="F48" s="205"/>
      <c r="G48" s="206"/>
      <c r="H48" s="207"/>
      <c r="I48" s="212"/>
      <c r="J48" s="206"/>
      <c r="K48" s="208"/>
      <c r="L48" s="209"/>
      <c r="M48" s="206"/>
      <c r="N48" s="206"/>
      <c r="O48" s="206"/>
      <c r="P48" s="208"/>
      <c r="S48" s="211"/>
    </row>
    <row r="49" spans="1:19" s="210" customFormat="1" ht="25.9" customHeight="1" x14ac:dyDescent="0.25">
      <c r="A49" s="203">
        <v>29</v>
      </c>
      <c r="B49" s="204" t="s">
        <v>108</v>
      </c>
      <c r="C49" s="226" t="s">
        <v>708</v>
      </c>
      <c r="D49" s="113" t="s">
        <v>114</v>
      </c>
      <c r="E49" s="376">
        <v>2</v>
      </c>
      <c r="F49" s="205"/>
      <c r="G49" s="206"/>
      <c r="H49" s="207"/>
      <c r="I49" s="212"/>
      <c r="J49" s="206"/>
      <c r="K49" s="208"/>
      <c r="L49" s="209"/>
      <c r="M49" s="206"/>
      <c r="N49" s="206"/>
      <c r="O49" s="206"/>
      <c r="P49" s="208"/>
      <c r="S49" s="211"/>
    </row>
    <row r="50" spans="1:19" s="210" customFormat="1" ht="25.9" customHeight="1" x14ac:dyDescent="0.25">
      <c r="A50" s="203">
        <v>30</v>
      </c>
      <c r="B50" s="204" t="s">
        <v>108</v>
      </c>
      <c r="C50" s="226" t="s">
        <v>709</v>
      </c>
      <c r="D50" s="113" t="s">
        <v>110</v>
      </c>
      <c r="E50" s="376">
        <v>10</v>
      </c>
      <c r="F50" s="205"/>
      <c r="G50" s="206"/>
      <c r="H50" s="207"/>
      <c r="I50" s="212"/>
      <c r="J50" s="206"/>
      <c r="K50" s="208"/>
      <c r="L50" s="209"/>
      <c r="M50" s="206"/>
      <c r="N50" s="206"/>
      <c r="O50" s="206"/>
      <c r="P50" s="208"/>
      <c r="S50" s="211"/>
    </row>
    <row r="51" spans="1:19" s="210" customFormat="1" ht="25.9" customHeight="1" x14ac:dyDescent="0.25">
      <c r="A51" s="203">
        <v>31</v>
      </c>
      <c r="B51" s="204" t="s">
        <v>108</v>
      </c>
      <c r="C51" s="226" t="s">
        <v>710</v>
      </c>
      <c r="D51" s="113" t="s">
        <v>110</v>
      </c>
      <c r="E51" s="376">
        <v>10</v>
      </c>
      <c r="F51" s="205"/>
      <c r="G51" s="206"/>
      <c r="H51" s="207"/>
      <c r="I51" s="212"/>
      <c r="J51" s="206"/>
      <c r="K51" s="208"/>
      <c r="L51" s="209"/>
      <c r="M51" s="206"/>
      <c r="N51" s="206"/>
      <c r="O51" s="206"/>
      <c r="P51" s="208"/>
      <c r="S51" s="211"/>
    </row>
    <row r="52" spans="1:19" s="210" customFormat="1" ht="25.9" customHeight="1" x14ac:dyDescent="0.25">
      <c r="A52" s="203">
        <v>32</v>
      </c>
      <c r="B52" s="204" t="s">
        <v>108</v>
      </c>
      <c r="C52" s="226" t="s">
        <v>711</v>
      </c>
      <c r="D52" s="113" t="s">
        <v>110</v>
      </c>
      <c r="E52" s="376">
        <v>4</v>
      </c>
      <c r="F52" s="205"/>
      <c r="G52" s="206"/>
      <c r="H52" s="207"/>
      <c r="I52" s="212"/>
      <c r="J52" s="206"/>
      <c r="K52" s="208"/>
      <c r="L52" s="209"/>
      <c r="M52" s="206"/>
      <c r="N52" s="206"/>
      <c r="O52" s="206"/>
      <c r="P52" s="208"/>
      <c r="S52" s="211"/>
    </row>
    <row r="53" spans="1:19" s="210" customFormat="1" ht="25.9" customHeight="1" x14ac:dyDescent="0.25">
      <c r="A53" s="203">
        <v>33</v>
      </c>
      <c r="B53" s="204" t="s">
        <v>108</v>
      </c>
      <c r="C53" s="226" t="s">
        <v>712</v>
      </c>
      <c r="D53" s="113" t="s">
        <v>110</v>
      </c>
      <c r="E53" s="376">
        <v>8</v>
      </c>
      <c r="F53" s="205"/>
      <c r="G53" s="206"/>
      <c r="H53" s="207"/>
      <c r="I53" s="206"/>
      <c r="J53" s="206"/>
      <c r="K53" s="208"/>
      <c r="L53" s="209"/>
      <c r="M53" s="206"/>
      <c r="N53" s="206"/>
      <c r="O53" s="206"/>
      <c r="P53" s="208"/>
      <c r="S53" s="211"/>
    </row>
    <row r="54" spans="1:19" s="210" customFormat="1" ht="25.9" customHeight="1" x14ac:dyDescent="0.25">
      <c r="A54" s="203">
        <v>34</v>
      </c>
      <c r="B54" s="204" t="s">
        <v>108</v>
      </c>
      <c r="C54" s="226" t="s">
        <v>481</v>
      </c>
      <c r="D54" s="113" t="s">
        <v>112</v>
      </c>
      <c r="E54" s="376">
        <v>1</v>
      </c>
      <c r="F54" s="205"/>
      <c r="G54" s="206"/>
      <c r="H54" s="207"/>
      <c r="I54" s="206"/>
      <c r="J54" s="206"/>
      <c r="K54" s="208"/>
      <c r="L54" s="209"/>
      <c r="M54" s="206"/>
      <c r="N54" s="206"/>
      <c r="O54" s="206"/>
      <c r="P54" s="208"/>
      <c r="S54" s="211"/>
    </row>
    <row r="55" spans="1:19" s="210" customFormat="1" ht="18.600000000000001" customHeight="1" x14ac:dyDescent="0.25">
      <c r="A55" s="203">
        <v>35</v>
      </c>
      <c r="B55" s="204" t="s">
        <v>108</v>
      </c>
      <c r="C55" s="227" t="s">
        <v>706</v>
      </c>
      <c r="D55" s="113" t="s">
        <v>110</v>
      </c>
      <c r="E55" s="376">
        <v>10</v>
      </c>
      <c r="F55" s="205"/>
      <c r="G55" s="206"/>
      <c r="H55" s="207"/>
      <c r="I55" s="212"/>
      <c r="J55" s="206"/>
      <c r="K55" s="208"/>
      <c r="L55" s="209"/>
      <c r="M55" s="206"/>
      <c r="N55" s="206"/>
      <c r="O55" s="206"/>
      <c r="P55" s="208"/>
      <c r="S55" s="211"/>
    </row>
    <row r="56" spans="1:19" s="210" customFormat="1" ht="18.600000000000001" customHeight="1" x14ac:dyDescent="0.25">
      <c r="A56" s="203">
        <v>36</v>
      </c>
      <c r="B56" s="204" t="s">
        <v>108</v>
      </c>
      <c r="C56" s="227" t="s">
        <v>705</v>
      </c>
      <c r="D56" s="113" t="s">
        <v>110</v>
      </c>
      <c r="E56" s="376">
        <v>10</v>
      </c>
      <c r="F56" s="205"/>
      <c r="G56" s="206"/>
      <c r="H56" s="207"/>
      <c r="I56" s="212"/>
      <c r="J56" s="206"/>
      <c r="K56" s="208"/>
      <c r="L56" s="209"/>
      <c r="M56" s="206"/>
      <c r="N56" s="206"/>
      <c r="O56" s="206"/>
      <c r="P56" s="208"/>
      <c r="S56" s="211"/>
    </row>
    <row r="57" spans="1:19" s="210" customFormat="1" ht="18.600000000000001" customHeight="1" x14ac:dyDescent="0.25">
      <c r="A57" s="203">
        <v>37</v>
      </c>
      <c r="B57" s="204" t="s">
        <v>108</v>
      </c>
      <c r="C57" s="227" t="s">
        <v>482</v>
      </c>
      <c r="D57" s="113" t="s">
        <v>112</v>
      </c>
      <c r="E57" s="376">
        <v>1</v>
      </c>
      <c r="F57" s="205"/>
      <c r="G57" s="206"/>
      <c r="H57" s="207"/>
      <c r="I57" s="212"/>
      <c r="J57" s="206"/>
      <c r="K57" s="208"/>
      <c r="L57" s="209"/>
      <c r="M57" s="206"/>
      <c r="N57" s="206"/>
      <c r="O57" s="206"/>
      <c r="P57" s="208"/>
      <c r="S57" s="211"/>
    </row>
    <row r="58" spans="1:19" s="210" customFormat="1" ht="26.45" customHeight="1" x14ac:dyDescent="0.25">
      <c r="A58" s="203">
        <v>38</v>
      </c>
      <c r="B58" s="204" t="s">
        <v>108</v>
      </c>
      <c r="C58" s="226" t="s">
        <v>704</v>
      </c>
      <c r="D58" s="113" t="s">
        <v>110</v>
      </c>
      <c r="E58" s="376">
        <v>10</v>
      </c>
      <c r="F58" s="205"/>
      <c r="G58" s="206"/>
      <c r="H58" s="207"/>
      <c r="I58" s="212"/>
      <c r="J58" s="206"/>
      <c r="K58" s="208"/>
      <c r="L58" s="209"/>
      <c r="M58" s="206"/>
      <c r="N58" s="206"/>
      <c r="O58" s="206"/>
      <c r="P58" s="208"/>
      <c r="S58" s="211"/>
    </row>
    <row r="59" spans="1:19" s="210" customFormat="1" ht="42.75" customHeight="1" x14ac:dyDescent="0.25">
      <c r="A59" s="203">
        <v>39</v>
      </c>
      <c r="B59" s="204" t="s">
        <v>108</v>
      </c>
      <c r="C59" s="226" t="s">
        <v>703</v>
      </c>
      <c r="D59" s="113" t="s">
        <v>110</v>
      </c>
      <c r="E59" s="376">
        <v>18</v>
      </c>
      <c r="F59" s="205"/>
      <c r="G59" s="206"/>
      <c r="H59" s="207"/>
      <c r="I59" s="212"/>
      <c r="J59" s="206"/>
      <c r="K59" s="208"/>
      <c r="L59" s="209"/>
      <c r="M59" s="206"/>
      <c r="N59" s="206"/>
      <c r="O59" s="206"/>
      <c r="P59" s="208"/>
      <c r="S59" s="211"/>
    </row>
    <row r="60" spans="1:19" s="210" customFormat="1" ht="42.75" customHeight="1" x14ac:dyDescent="0.25">
      <c r="A60" s="203">
        <v>40</v>
      </c>
      <c r="B60" s="204" t="s">
        <v>108</v>
      </c>
      <c r="C60" s="226" t="s">
        <v>702</v>
      </c>
      <c r="D60" s="113" t="s">
        <v>110</v>
      </c>
      <c r="E60" s="376">
        <v>4</v>
      </c>
      <c r="F60" s="205"/>
      <c r="G60" s="206"/>
      <c r="H60" s="207"/>
      <c r="I60" s="212"/>
      <c r="J60" s="206"/>
      <c r="K60" s="208"/>
      <c r="L60" s="209"/>
      <c r="M60" s="206"/>
      <c r="N60" s="206"/>
      <c r="O60" s="206"/>
      <c r="P60" s="208"/>
      <c r="S60" s="211"/>
    </row>
    <row r="61" spans="1:19" s="210" customFormat="1" ht="42.75" customHeight="1" x14ac:dyDescent="0.25">
      <c r="A61" s="203">
        <v>41</v>
      </c>
      <c r="B61" s="204" t="s">
        <v>108</v>
      </c>
      <c r="C61" s="226" t="s">
        <v>701</v>
      </c>
      <c r="D61" s="113" t="s">
        <v>110</v>
      </c>
      <c r="E61" s="376">
        <v>10</v>
      </c>
      <c r="F61" s="205"/>
      <c r="G61" s="206"/>
      <c r="H61" s="207"/>
      <c r="I61" s="212"/>
      <c r="J61" s="206"/>
      <c r="K61" s="208"/>
      <c r="L61" s="209"/>
      <c r="M61" s="206"/>
      <c r="N61" s="206"/>
      <c r="O61" s="206"/>
      <c r="P61" s="208"/>
      <c r="S61" s="211"/>
    </row>
    <row r="62" spans="1:19" s="210" customFormat="1" ht="42.75" customHeight="1" x14ac:dyDescent="0.25">
      <c r="A62" s="203">
        <v>42</v>
      </c>
      <c r="B62" s="204" t="s">
        <v>108</v>
      </c>
      <c r="C62" s="226" t="s">
        <v>700</v>
      </c>
      <c r="D62" s="113" t="s">
        <v>110</v>
      </c>
      <c r="E62" s="376">
        <v>10</v>
      </c>
      <c r="F62" s="205"/>
      <c r="G62" s="206"/>
      <c r="H62" s="207"/>
      <c r="I62" s="212"/>
      <c r="J62" s="206"/>
      <c r="K62" s="208"/>
      <c r="L62" s="209"/>
      <c r="M62" s="206"/>
      <c r="N62" s="206"/>
      <c r="O62" s="206"/>
      <c r="P62" s="208"/>
      <c r="S62" s="211"/>
    </row>
    <row r="63" spans="1:19" s="210" customFormat="1" ht="42.75" customHeight="1" x14ac:dyDescent="0.25">
      <c r="A63" s="203">
        <v>43</v>
      </c>
      <c r="B63" s="204" t="s">
        <v>108</v>
      </c>
      <c r="C63" s="226" t="s">
        <v>699</v>
      </c>
      <c r="D63" s="113" t="s">
        <v>110</v>
      </c>
      <c r="E63" s="376">
        <v>8</v>
      </c>
      <c r="F63" s="205"/>
      <c r="G63" s="206"/>
      <c r="H63" s="207"/>
      <c r="I63" s="212"/>
      <c r="J63" s="206"/>
      <c r="K63" s="208"/>
      <c r="L63" s="209"/>
      <c r="M63" s="206"/>
      <c r="N63" s="206"/>
      <c r="O63" s="206"/>
      <c r="P63" s="208"/>
      <c r="S63" s="211"/>
    </row>
    <row r="64" spans="1:19" s="210" customFormat="1" ht="42.75" customHeight="1" x14ac:dyDescent="0.25">
      <c r="A64" s="203">
        <v>44</v>
      </c>
      <c r="B64" s="204" t="s">
        <v>108</v>
      </c>
      <c r="C64" s="226" t="s">
        <v>698</v>
      </c>
      <c r="D64" s="113" t="s">
        <v>110</v>
      </c>
      <c r="E64" s="376">
        <v>4</v>
      </c>
      <c r="F64" s="205"/>
      <c r="G64" s="206"/>
      <c r="H64" s="207"/>
      <c r="I64" s="206"/>
      <c r="J64" s="206"/>
      <c r="K64" s="208"/>
      <c r="L64" s="209"/>
      <c r="M64" s="206"/>
      <c r="N64" s="206"/>
      <c r="O64" s="206"/>
      <c r="P64" s="208"/>
      <c r="S64" s="211"/>
    </row>
    <row r="65" spans="1:19" s="210" customFormat="1" ht="18.600000000000001" customHeight="1" x14ac:dyDescent="0.25">
      <c r="A65" s="203">
        <v>45</v>
      </c>
      <c r="B65" s="204" t="s">
        <v>108</v>
      </c>
      <c r="C65" s="226" t="s">
        <v>483</v>
      </c>
      <c r="D65" s="113" t="s">
        <v>112</v>
      </c>
      <c r="E65" s="376">
        <v>1</v>
      </c>
      <c r="F65" s="205"/>
      <c r="G65" s="206"/>
      <c r="H65" s="207"/>
      <c r="I65" s="212"/>
      <c r="J65" s="206"/>
      <c r="K65" s="208"/>
      <c r="L65" s="209"/>
      <c r="M65" s="206"/>
      <c r="N65" s="206"/>
      <c r="O65" s="206"/>
      <c r="P65" s="208"/>
      <c r="S65" s="211"/>
    </row>
    <row r="66" spans="1:19" s="210" customFormat="1" ht="30.6" customHeight="1" x14ac:dyDescent="0.25">
      <c r="A66" s="203">
        <v>46</v>
      </c>
      <c r="B66" s="204" t="s">
        <v>108</v>
      </c>
      <c r="C66" s="226" t="s">
        <v>484</v>
      </c>
      <c r="D66" s="113" t="s">
        <v>112</v>
      </c>
      <c r="E66" s="376">
        <v>1</v>
      </c>
      <c r="F66" s="205"/>
      <c r="G66" s="206"/>
      <c r="H66" s="207"/>
      <c r="I66" s="212"/>
      <c r="J66" s="206"/>
      <c r="K66" s="208"/>
      <c r="L66" s="209"/>
      <c r="M66" s="206"/>
      <c r="N66" s="206"/>
      <c r="O66" s="206"/>
      <c r="P66" s="208"/>
      <c r="S66" s="211"/>
    </row>
    <row r="67" spans="1:19" s="210" customFormat="1" ht="21.6" customHeight="1" x14ac:dyDescent="0.25">
      <c r="A67" s="203">
        <v>47</v>
      </c>
      <c r="B67" s="204" t="s">
        <v>108</v>
      </c>
      <c r="C67" s="226" t="s">
        <v>485</v>
      </c>
      <c r="D67" s="113" t="s">
        <v>112</v>
      </c>
      <c r="E67" s="376">
        <v>1</v>
      </c>
      <c r="F67" s="205"/>
      <c r="G67" s="206"/>
      <c r="H67" s="207"/>
      <c r="I67" s="212"/>
      <c r="J67" s="206"/>
      <c r="K67" s="208"/>
      <c r="L67" s="209"/>
      <c r="M67" s="206"/>
      <c r="N67" s="206"/>
      <c r="O67" s="206"/>
      <c r="P67" s="208"/>
      <c r="S67" s="211"/>
    </row>
    <row r="68" spans="1:19" s="210" customFormat="1" ht="38.85" customHeight="1" x14ac:dyDescent="0.25">
      <c r="A68" s="203">
        <v>48</v>
      </c>
      <c r="B68" s="204" t="s">
        <v>108</v>
      </c>
      <c r="C68" s="226" t="s">
        <v>486</v>
      </c>
      <c r="D68" s="113" t="s">
        <v>487</v>
      </c>
      <c r="E68" s="376">
        <v>1</v>
      </c>
      <c r="F68" s="205"/>
      <c r="G68" s="206"/>
      <c r="H68" s="207"/>
      <c r="I68" s="212"/>
      <c r="J68" s="206"/>
      <c r="K68" s="208"/>
      <c r="L68" s="209"/>
      <c r="M68" s="206"/>
      <c r="N68" s="206"/>
      <c r="O68" s="206"/>
      <c r="P68" s="208"/>
      <c r="S68" s="211"/>
    </row>
    <row r="69" spans="1:19" s="210" customFormat="1" ht="38.85" customHeight="1" x14ac:dyDescent="0.25">
      <c r="A69" s="203">
        <v>49</v>
      </c>
      <c r="B69" s="204" t="s">
        <v>108</v>
      </c>
      <c r="C69" s="226" t="s">
        <v>697</v>
      </c>
      <c r="D69" s="113" t="s">
        <v>112</v>
      </c>
      <c r="E69" s="376">
        <v>1</v>
      </c>
      <c r="F69" s="205"/>
      <c r="G69" s="206"/>
      <c r="H69" s="207"/>
      <c r="I69" s="212"/>
      <c r="J69" s="206"/>
      <c r="K69" s="208"/>
      <c r="L69" s="209"/>
      <c r="M69" s="206"/>
      <c r="N69" s="206"/>
      <c r="O69" s="206"/>
      <c r="P69" s="208"/>
      <c r="S69" s="211"/>
    </row>
    <row r="70" spans="1:19" s="210" customFormat="1" ht="20.100000000000001" customHeight="1" x14ac:dyDescent="0.25">
      <c r="A70" s="203"/>
      <c r="B70" s="204"/>
      <c r="C70" s="377" t="s">
        <v>488</v>
      </c>
      <c r="D70" s="113"/>
      <c r="E70" s="376"/>
      <c r="F70" s="205"/>
      <c r="G70" s="206"/>
      <c r="H70" s="207"/>
      <c r="I70" s="206"/>
      <c r="J70" s="206"/>
      <c r="K70" s="208"/>
      <c r="L70" s="209"/>
      <c r="M70" s="206"/>
      <c r="N70" s="206"/>
      <c r="O70" s="206"/>
      <c r="P70" s="208"/>
      <c r="S70" s="211"/>
    </row>
    <row r="71" spans="1:19" s="210" customFormat="1" ht="54" customHeight="1" x14ac:dyDescent="0.25">
      <c r="A71" s="203">
        <v>1</v>
      </c>
      <c r="B71" s="204" t="s">
        <v>108</v>
      </c>
      <c r="C71" s="226" t="s">
        <v>489</v>
      </c>
      <c r="D71" s="113" t="s">
        <v>112</v>
      </c>
      <c r="E71" s="376">
        <v>20</v>
      </c>
      <c r="F71" s="205"/>
      <c r="G71" s="206"/>
      <c r="H71" s="207"/>
      <c r="I71" s="206"/>
      <c r="J71" s="206"/>
      <c r="K71" s="208"/>
      <c r="L71" s="209"/>
      <c r="M71" s="206"/>
      <c r="N71" s="206"/>
      <c r="O71" s="206"/>
      <c r="P71" s="208"/>
      <c r="S71" s="211"/>
    </row>
    <row r="72" spans="1:19" s="210" customFormat="1" ht="54" customHeight="1" x14ac:dyDescent="0.25">
      <c r="A72" s="203">
        <v>2</v>
      </c>
      <c r="B72" s="204" t="s">
        <v>108</v>
      </c>
      <c r="C72" s="226" t="s">
        <v>490</v>
      </c>
      <c r="D72" s="113" t="s">
        <v>112</v>
      </c>
      <c r="E72" s="376">
        <v>1</v>
      </c>
      <c r="F72" s="205"/>
      <c r="G72" s="206"/>
      <c r="H72" s="207"/>
      <c r="I72" s="212"/>
      <c r="J72" s="206"/>
      <c r="K72" s="208"/>
      <c r="L72" s="209"/>
      <c r="M72" s="206"/>
      <c r="N72" s="206"/>
      <c r="O72" s="206"/>
      <c r="P72" s="208"/>
      <c r="S72" s="211"/>
    </row>
    <row r="73" spans="1:19" ht="19.350000000000001" customHeight="1" x14ac:dyDescent="0.25">
      <c r="A73" s="213"/>
      <c r="B73" s="214"/>
      <c r="C73" s="214"/>
      <c r="D73" s="214"/>
      <c r="E73" s="215"/>
      <c r="F73" s="213"/>
      <c r="G73" s="214"/>
      <c r="H73" s="214"/>
      <c r="I73" s="214"/>
      <c r="J73" s="214"/>
      <c r="K73" s="216"/>
      <c r="L73" s="217"/>
      <c r="M73" s="214"/>
      <c r="N73" s="214"/>
      <c r="O73" s="214"/>
      <c r="P73" s="216"/>
    </row>
    <row r="74" spans="1:19" ht="17.850000000000001" customHeight="1" x14ac:dyDescent="0.25">
      <c r="A74" s="218"/>
      <c r="B74" s="219"/>
      <c r="C74" s="432" t="s">
        <v>136</v>
      </c>
      <c r="D74" s="432"/>
      <c r="E74" s="432"/>
      <c r="F74" s="432"/>
      <c r="G74" s="432"/>
      <c r="H74" s="432"/>
      <c r="I74" s="432"/>
      <c r="J74" s="432"/>
      <c r="K74" s="432"/>
      <c r="L74" s="220">
        <f>SUM(L21:L73)</f>
        <v>0</v>
      </c>
      <c r="M74" s="221">
        <f>SUM(M21:M73)</f>
        <v>0</v>
      </c>
      <c r="N74" s="221">
        <f>SUM(N21:N73)</f>
        <v>0</v>
      </c>
      <c r="O74" s="221">
        <f>SUM(O21:O73)</f>
        <v>0</v>
      </c>
      <c r="P74" s="222">
        <f>SUM(P21:P73)</f>
        <v>0</v>
      </c>
    </row>
    <row r="75" spans="1:19" ht="17.850000000000001" customHeight="1" x14ac:dyDescent="0.25"/>
    <row r="76" spans="1:19" ht="17.850000000000001" customHeight="1" x14ac:dyDescent="0.25">
      <c r="B76" s="183" t="s">
        <v>26</v>
      </c>
      <c r="C76" s="223">
        <f>KOPTAME!C58</f>
        <v>0</v>
      </c>
      <c r="E76" s="186">
        <f>'KOPS 1'!F42</f>
        <v>0</v>
      </c>
    </row>
    <row r="77" spans="1:19" ht="17.850000000000001" customHeight="1" x14ac:dyDescent="0.25">
      <c r="C77" s="187" t="s">
        <v>86</v>
      </c>
      <c r="E77" s="187"/>
    </row>
    <row r="78" spans="1:19" ht="17.850000000000001" customHeight="1" x14ac:dyDescent="0.25">
      <c r="E78" s="187"/>
    </row>
    <row r="79" spans="1:19" ht="17.850000000000001" customHeight="1" x14ac:dyDescent="0.25">
      <c r="B79" s="184"/>
      <c r="C79" s="224"/>
      <c r="D79" s="187"/>
      <c r="E79" s="187"/>
      <c r="F79" s="189"/>
    </row>
    <row r="80" spans="1:19" ht="17.850000000000001" customHeight="1" x14ac:dyDescent="0.25">
      <c r="E80" s="187"/>
    </row>
    <row r="81" spans="2:5" ht="17.850000000000001" customHeight="1" x14ac:dyDescent="0.25">
      <c r="B81" s="183" t="s">
        <v>28</v>
      </c>
      <c r="C81" s="223">
        <f>KOPTAME!C63</f>
        <v>0</v>
      </c>
      <c r="E81" s="186">
        <f>E76</f>
        <v>0</v>
      </c>
    </row>
    <row r="82" spans="2:5" ht="17.850000000000001" customHeight="1" x14ac:dyDescent="0.25">
      <c r="C82" s="187" t="s">
        <v>86</v>
      </c>
    </row>
    <row r="83" spans="2:5" ht="17.850000000000001" customHeight="1" x14ac:dyDescent="0.25"/>
    <row r="84" spans="2:5" ht="17.850000000000001" customHeight="1" x14ac:dyDescent="0.25">
      <c r="C84" s="183">
        <f>KOPTAME!C68</f>
        <v>0</v>
      </c>
    </row>
    <row r="85" spans="2:5" ht="17.850000000000001" customHeight="1" x14ac:dyDescent="0.25"/>
    <row r="86" spans="2:5" ht="17.850000000000001" customHeight="1" x14ac:dyDescent="0.25">
      <c r="C86" s="183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74:K74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MJ108"/>
  <sheetViews>
    <sheetView view="pageBreakPreview" topLeftCell="A18" zoomScaleNormal="100" workbookViewId="0">
      <selection activeCell="I31" sqref="I31"/>
    </sheetView>
  </sheetViews>
  <sheetFormatPr defaultColWidth="9.140625" defaultRowHeight="15" x14ac:dyDescent="0.25"/>
  <cols>
    <col min="1" max="1" width="9.140625" style="149"/>
    <col min="2" max="2" width="10" style="149" customWidth="1"/>
    <col min="3" max="3" width="32.85546875" style="149" customWidth="1"/>
    <col min="4" max="4" width="7.140625" style="153" customWidth="1"/>
    <col min="5" max="5" width="8" style="149" customWidth="1"/>
    <col min="6" max="11" width="7.85546875" style="149" customWidth="1"/>
    <col min="12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ht="13.9" customHeight="1" x14ac:dyDescent="0.25">
      <c r="E2" s="455" t="s">
        <v>88</v>
      </c>
      <c r="F2" s="455"/>
      <c r="G2" s="455"/>
      <c r="H2" s="455"/>
      <c r="I2" s="151" t="s">
        <v>648</v>
      </c>
    </row>
    <row r="3" spans="1:16" x14ac:dyDescent="0.25">
      <c r="D3" s="456" t="s">
        <v>70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P96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47" t="s">
        <v>92</v>
      </c>
      <c r="B17" s="448" t="s">
        <v>93</v>
      </c>
      <c r="C17" s="449" t="s">
        <v>94</v>
      </c>
      <c r="D17" s="450" t="s">
        <v>95</v>
      </c>
      <c r="E17" s="451" t="s">
        <v>96</v>
      </c>
      <c r="F17" s="444" t="s">
        <v>97</v>
      </c>
      <c r="G17" s="444"/>
      <c r="H17" s="444"/>
      <c r="I17" s="444"/>
      <c r="J17" s="444"/>
      <c r="K17" s="444"/>
      <c r="L17" s="445" t="s">
        <v>98</v>
      </c>
      <c r="M17" s="445"/>
      <c r="N17" s="445"/>
      <c r="O17" s="445"/>
      <c r="P17" s="445"/>
    </row>
    <row r="18" spans="1:19" ht="58.15" customHeight="1" x14ac:dyDescent="0.25">
      <c r="A18" s="447"/>
      <c r="B18" s="448"/>
      <c r="C18" s="449"/>
      <c r="D18" s="450"/>
      <c r="E18" s="451"/>
      <c r="F18" s="156" t="s">
        <v>99</v>
      </c>
      <c r="G18" s="157" t="s">
        <v>100</v>
      </c>
      <c r="H18" s="157" t="s">
        <v>101</v>
      </c>
      <c r="I18" s="157" t="s">
        <v>102</v>
      </c>
      <c r="J18" s="157" t="s">
        <v>103</v>
      </c>
      <c r="K18" s="158" t="s">
        <v>104</v>
      </c>
      <c r="L18" s="159" t="s">
        <v>105</v>
      </c>
      <c r="M18" s="157" t="s">
        <v>101</v>
      </c>
      <c r="N18" s="157" t="s">
        <v>102</v>
      </c>
      <c r="O18" s="157" t="s">
        <v>103</v>
      </c>
      <c r="P18" s="158" t="s">
        <v>106</v>
      </c>
    </row>
    <row r="19" spans="1:19" ht="16.350000000000001" customHeight="1" x14ac:dyDescent="0.25">
      <c r="A19" s="160">
        <v>1</v>
      </c>
      <c r="B19" s="161">
        <v>2</v>
      </c>
      <c r="C19" s="161">
        <v>3</v>
      </c>
      <c r="D19" s="161">
        <v>4</v>
      </c>
      <c r="E19" s="162">
        <v>5</v>
      </c>
      <c r="F19" s="160">
        <v>6</v>
      </c>
      <c r="G19" s="161">
        <v>7</v>
      </c>
      <c r="H19" s="161">
        <v>8</v>
      </c>
      <c r="I19" s="161">
        <v>9</v>
      </c>
      <c r="J19" s="161">
        <v>10</v>
      </c>
      <c r="K19" s="163">
        <v>11</v>
      </c>
      <c r="L19" s="164">
        <v>12</v>
      </c>
      <c r="M19" s="161">
        <v>13</v>
      </c>
      <c r="N19" s="161">
        <v>14</v>
      </c>
      <c r="O19" s="161">
        <v>15</v>
      </c>
      <c r="P19" s="163">
        <v>16</v>
      </c>
    </row>
    <row r="20" spans="1:19" ht="16.350000000000001" customHeight="1" x14ac:dyDescent="0.25">
      <c r="A20" s="165"/>
      <c r="B20" s="166"/>
      <c r="C20" s="378" t="s">
        <v>491</v>
      </c>
      <c r="D20" s="379"/>
      <c r="E20" s="380"/>
      <c r="F20" s="169"/>
      <c r="G20" s="166"/>
      <c r="H20" s="166"/>
      <c r="I20" s="166"/>
      <c r="J20" s="166"/>
      <c r="K20" s="168"/>
      <c r="L20" s="169"/>
      <c r="M20" s="166"/>
      <c r="N20" s="166"/>
      <c r="O20" s="166"/>
      <c r="P20" s="168"/>
    </row>
    <row r="21" spans="1:19" s="58" customFormat="1" ht="16.350000000000001" customHeight="1" x14ac:dyDescent="0.25">
      <c r="A21" s="71">
        <v>1</v>
      </c>
      <c r="B21" s="91" t="s">
        <v>108</v>
      </c>
      <c r="C21" s="228" t="s">
        <v>492</v>
      </c>
      <c r="D21" s="145" t="s">
        <v>114</v>
      </c>
      <c r="E21" s="381">
        <v>2</v>
      </c>
      <c r="F21" s="9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25.15" customHeight="1" x14ac:dyDescent="0.25">
      <c r="A22" s="71">
        <v>2</v>
      </c>
      <c r="B22" s="91" t="s">
        <v>108</v>
      </c>
      <c r="C22" s="228" t="s">
        <v>811</v>
      </c>
      <c r="D22" s="145" t="s">
        <v>110</v>
      </c>
      <c r="E22" s="381">
        <v>48</v>
      </c>
      <c r="F22" s="9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25.15" customHeight="1" x14ac:dyDescent="0.25">
      <c r="A23" s="71">
        <v>3</v>
      </c>
      <c r="B23" s="91" t="s">
        <v>108</v>
      </c>
      <c r="C23" s="81" t="s">
        <v>493</v>
      </c>
      <c r="D23" s="145" t="s">
        <v>114</v>
      </c>
      <c r="E23" s="381">
        <v>2</v>
      </c>
      <c r="F23" s="92"/>
      <c r="G23" s="64"/>
      <c r="H23" s="93"/>
      <c r="I23" s="7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16.350000000000001" customHeight="1" x14ac:dyDescent="0.25">
      <c r="A24" s="71">
        <v>4</v>
      </c>
      <c r="B24" s="91" t="s">
        <v>108</v>
      </c>
      <c r="C24" s="228" t="s">
        <v>494</v>
      </c>
      <c r="D24" s="145" t="s">
        <v>114</v>
      </c>
      <c r="E24" s="381">
        <v>2</v>
      </c>
      <c r="F24" s="92"/>
      <c r="G24" s="64"/>
      <c r="H24" s="93"/>
      <c r="I24" s="6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27" customHeight="1" x14ac:dyDescent="0.25">
      <c r="A25" s="71">
        <v>5</v>
      </c>
      <c r="B25" s="91" t="s">
        <v>108</v>
      </c>
      <c r="C25" s="228" t="s">
        <v>789</v>
      </c>
      <c r="D25" s="145" t="s">
        <v>110</v>
      </c>
      <c r="E25" s="381">
        <v>48</v>
      </c>
      <c r="F25" s="92"/>
      <c r="G25" s="64"/>
      <c r="H25" s="93"/>
      <c r="I25" s="6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16.350000000000001" customHeight="1" x14ac:dyDescent="0.25">
      <c r="A26" s="71">
        <v>6</v>
      </c>
      <c r="B26" s="91" t="s">
        <v>108</v>
      </c>
      <c r="C26" s="228" t="s">
        <v>495</v>
      </c>
      <c r="D26" s="145" t="s">
        <v>112</v>
      </c>
      <c r="E26" s="381">
        <v>1</v>
      </c>
      <c r="F26" s="92"/>
      <c r="G26" s="64"/>
      <c r="H26" s="93"/>
      <c r="I26" s="6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16.350000000000001" customHeight="1" x14ac:dyDescent="0.25">
      <c r="A27" s="71"/>
      <c r="B27" s="91"/>
      <c r="C27" s="382" t="s">
        <v>496</v>
      </c>
      <c r="D27" s="145"/>
      <c r="E27" s="381"/>
      <c r="F27" s="92"/>
      <c r="G27" s="64"/>
      <c r="H27" s="93"/>
      <c r="I27" s="6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45" customHeight="1" x14ac:dyDescent="0.25">
      <c r="A28" s="71">
        <v>1</v>
      </c>
      <c r="B28" s="91" t="s">
        <v>108</v>
      </c>
      <c r="C28" s="81" t="s">
        <v>788</v>
      </c>
      <c r="D28" s="145" t="s">
        <v>112</v>
      </c>
      <c r="E28" s="323">
        <v>1</v>
      </c>
      <c r="F28" s="92"/>
      <c r="G28" s="64"/>
      <c r="H28" s="93"/>
      <c r="I28" s="74"/>
      <c r="J28" s="64"/>
      <c r="K28" s="68"/>
      <c r="L28" s="112"/>
      <c r="M28" s="64"/>
      <c r="N28" s="64"/>
      <c r="O28" s="64"/>
      <c r="P28" s="68"/>
      <c r="S28" s="94"/>
    </row>
    <row r="29" spans="1:19" s="58" customFormat="1" ht="17.850000000000001" customHeight="1" x14ac:dyDescent="0.25">
      <c r="A29" s="71">
        <v>2</v>
      </c>
      <c r="B29" s="91" t="s">
        <v>108</v>
      </c>
      <c r="C29" s="228" t="s">
        <v>497</v>
      </c>
      <c r="D29" s="145" t="s">
        <v>110</v>
      </c>
      <c r="E29" s="381">
        <v>4</v>
      </c>
      <c r="F29" s="92"/>
      <c r="G29" s="64"/>
      <c r="H29" s="93"/>
      <c r="I29" s="74"/>
      <c r="J29" s="64"/>
      <c r="K29" s="68"/>
      <c r="L29" s="112"/>
      <c r="M29" s="64"/>
      <c r="N29" s="64"/>
      <c r="O29" s="64"/>
      <c r="P29" s="68"/>
      <c r="S29" s="94"/>
    </row>
    <row r="30" spans="1:19" s="58" customFormat="1" ht="28.35" customHeight="1" x14ac:dyDescent="0.25">
      <c r="A30" s="71">
        <v>3</v>
      </c>
      <c r="B30" s="91" t="s">
        <v>108</v>
      </c>
      <c r="C30" s="228" t="s">
        <v>498</v>
      </c>
      <c r="D30" s="145" t="s">
        <v>112</v>
      </c>
      <c r="E30" s="381">
        <v>1</v>
      </c>
      <c r="F30" s="92"/>
      <c r="G30" s="64"/>
      <c r="H30" s="93"/>
      <c r="I30" s="64"/>
      <c r="J30" s="64"/>
      <c r="K30" s="68"/>
      <c r="L30" s="112"/>
      <c r="M30" s="64"/>
      <c r="N30" s="64"/>
      <c r="O30" s="64"/>
      <c r="P30" s="68"/>
      <c r="S30" s="94"/>
    </row>
    <row r="31" spans="1:19" s="58" customFormat="1" ht="29.1" customHeight="1" x14ac:dyDescent="0.25">
      <c r="A31" s="71"/>
      <c r="B31" s="91"/>
      <c r="C31" s="382" t="s">
        <v>499</v>
      </c>
      <c r="D31" s="145"/>
      <c r="E31" s="381"/>
      <c r="F31" s="92"/>
      <c r="G31" s="64"/>
      <c r="H31" s="93"/>
      <c r="I31" s="74"/>
      <c r="J31" s="64"/>
      <c r="K31" s="68"/>
      <c r="L31" s="112"/>
      <c r="M31" s="64"/>
      <c r="N31" s="64"/>
      <c r="O31" s="64"/>
      <c r="P31" s="68"/>
      <c r="S31" s="94"/>
    </row>
    <row r="32" spans="1:19" s="58" customFormat="1" ht="86.25" customHeight="1" x14ac:dyDescent="0.25">
      <c r="A32" s="71">
        <v>1</v>
      </c>
      <c r="B32" s="91" t="s">
        <v>108</v>
      </c>
      <c r="C32" s="228" t="s">
        <v>787</v>
      </c>
      <c r="D32" s="145" t="s">
        <v>112</v>
      </c>
      <c r="E32" s="381">
        <v>1</v>
      </c>
      <c r="F32" s="92"/>
      <c r="G32" s="64"/>
      <c r="H32" s="93"/>
      <c r="I32" s="64"/>
      <c r="J32" s="64"/>
      <c r="K32" s="68"/>
      <c r="L32" s="112"/>
      <c r="M32" s="64"/>
      <c r="N32" s="64"/>
      <c r="O32" s="64"/>
      <c r="P32" s="68"/>
      <c r="S32" s="94"/>
    </row>
    <row r="33" spans="1:19" s="58" customFormat="1" ht="48" customHeight="1" x14ac:dyDescent="0.25">
      <c r="A33" s="71">
        <v>2</v>
      </c>
      <c r="B33" s="91" t="s">
        <v>108</v>
      </c>
      <c r="C33" s="228" t="s">
        <v>786</v>
      </c>
      <c r="D33" s="145" t="s">
        <v>112</v>
      </c>
      <c r="E33" s="381">
        <v>2</v>
      </c>
      <c r="F33" s="92"/>
      <c r="G33" s="64"/>
      <c r="H33" s="93"/>
      <c r="I33" s="74"/>
      <c r="J33" s="64"/>
      <c r="K33" s="68"/>
      <c r="L33" s="112"/>
      <c r="M33" s="64"/>
      <c r="N33" s="64"/>
      <c r="O33" s="64"/>
      <c r="P33" s="68"/>
      <c r="S33" s="94"/>
    </row>
    <row r="34" spans="1:19" s="58" customFormat="1" ht="31.15" customHeight="1" x14ac:dyDescent="0.25">
      <c r="A34" s="71">
        <v>3</v>
      </c>
      <c r="B34" s="91" t="s">
        <v>108</v>
      </c>
      <c r="C34" s="228" t="s">
        <v>785</v>
      </c>
      <c r="D34" s="145" t="s">
        <v>114</v>
      </c>
      <c r="E34" s="381">
        <v>1</v>
      </c>
      <c r="F34" s="92"/>
      <c r="G34" s="64"/>
      <c r="H34" s="93"/>
      <c r="I34" s="64"/>
      <c r="J34" s="64"/>
      <c r="K34" s="68"/>
      <c r="L34" s="112"/>
      <c r="M34" s="64"/>
      <c r="N34" s="64"/>
      <c r="O34" s="64"/>
      <c r="P34" s="68"/>
      <c r="S34" s="94"/>
    </row>
    <row r="35" spans="1:19" s="58" customFormat="1" ht="31.15" customHeight="1" x14ac:dyDescent="0.25">
      <c r="A35" s="71">
        <v>4</v>
      </c>
      <c r="B35" s="91" t="s">
        <v>108</v>
      </c>
      <c r="C35" s="228" t="s">
        <v>784</v>
      </c>
      <c r="D35" s="145" t="s">
        <v>112</v>
      </c>
      <c r="E35" s="381">
        <v>1</v>
      </c>
      <c r="F35" s="92"/>
      <c r="G35" s="64"/>
      <c r="H35" s="93"/>
      <c r="I35" s="74"/>
      <c r="J35" s="64"/>
      <c r="K35" s="68"/>
      <c r="L35" s="112"/>
      <c r="M35" s="64"/>
      <c r="N35" s="64"/>
      <c r="O35" s="64"/>
      <c r="P35" s="68"/>
      <c r="S35" s="94"/>
    </row>
    <row r="36" spans="1:19" s="58" customFormat="1" ht="31.15" customHeight="1" x14ac:dyDescent="0.25">
      <c r="A36" s="71">
        <v>5</v>
      </c>
      <c r="B36" s="91" t="s">
        <v>108</v>
      </c>
      <c r="C36" s="228" t="s">
        <v>783</v>
      </c>
      <c r="D36" s="145" t="s">
        <v>114</v>
      </c>
      <c r="E36" s="381">
        <v>2</v>
      </c>
      <c r="F36" s="92"/>
      <c r="G36" s="64"/>
      <c r="H36" s="93"/>
      <c r="I36" s="64"/>
      <c r="J36" s="64"/>
      <c r="K36" s="68"/>
      <c r="L36" s="112"/>
      <c r="M36" s="64"/>
      <c r="N36" s="64"/>
      <c r="O36" s="64"/>
      <c r="P36" s="68"/>
      <c r="S36" s="94"/>
    </row>
    <row r="37" spans="1:19" s="58" customFormat="1" ht="34.5" customHeight="1" x14ac:dyDescent="0.25">
      <c r="A37" s="71">
        <v>6</v>
      </c>
      <c r="B37" s="91" t="s">
        <v>108</v>
      </c>
      <c r="C37" s="228" t="s">
        <v>782</v>
      </c>
      <c r="D37" s="145" t="s">
        <v>114</v>
      </c>
      <c r="E37" s="381">
        <v>1</v>
      </c>
      <c r="F37" s="92"/>
      <c r="G37" s="64"/>
      <c r="H37" s="93"/>
      <c r="I37" s="74"/>
      <c r="J37" s="64"/>
      <c r="K37" s="68"/>
      <c r="L37" s="112"/>
      <c r="M37" s="64"/>
      <c r="N37" s="64"/>
      <c r="O37" s="64"/>
      <c r="P37" s="68"/>
      <c r="S37" s="94"/>
    </row>
    <row r="38" spans="1:19" s="58" customFormat="1" ht="28.5" customHeight="1" x14ac:dyDescent="0.25">
      <c r="A38" s="71">
        <v>7</v>
      </c>
      <c r="B38" s="91" t="s">
        <v>108</v>
      </c>
      <c r="C38" s="228" t="s">
        <v>781</v>
      </c>
      <c r="D38" s="145" t="s">
        <v>114</v>
      </c>
      <c r="E38" s="381">
        <v>1</v>
      </c>
      <c r="F38" s="92"/>
      <c r="G38" s="64"/>
      <c r="H38" s="93"/>
      <c r="I38" s="64"/>
      <c r="J38" s="64"/>
      <c r="K38" s="68"/>
      <c r="L38" s="112"/>
      <c r="M38" s="64"/>
      <c r="N38" s="64"/>
      <c r="O38" s="64"/>
      <c r="P38" s="68"/>
      <c r="S38" s="94"/>
    </row>
    <row r="39" spans="1:19" s="58" customFormat="1" ht="26.45" customHeight="1" x14ac:dyDescent="0.25">
      <c r="A39" s="71">
        <v>8</v>
      </c>
      <c r="B39" s="91" t="s">
        <v>108</v>
      </c>
      <c r="C39" s="228" t="s">
        <v>780</v>
      </c>
      <c r="D39" s="145" t="s">
        <v>114</v>
      </c>
      <c r="E39" s="381">
        <v>1</v>
      </c>
      <c r="F39" s="92"/>
      <c r="G39" s="64"/>
      <c r="H39" s="93"/>
      <c r="I39" s="74"/>
      <c r="J39" s="64"/>
      <c r="K39" s="68"/>
      <c r="L39" s="112"/>
      <c r="M39" s="64"/>
      <c r="N39" s="64"/>
      <c r="O39" s="64"/>
      <c r="P39" s="68"/>
      <c r="S39" s="94"/>
    </row>
    <row r="40" spans="1:19" s="58" customFormat="1" ht="26.45" customHeight="1" x14ac:dyDescent="0.25">
      <c r="A40" s="71">
        <v>9</v>
      </c>
      <c r="B40" s="91" t="s">
        <v>108</v>
      </c>
      <c r="C40" s="228" t="s">
        <v>779</v>
      </c>
      <c r="D40" s="145" t="s">
        <v>114</v>
      </c>
      <c r="E40" s="381">
        <v>1</v>
      </c>
      <c r="F40" s="92"/>
      <c r="G40" s="64"/>
      <c r="H40" s="93"/>
      <c r="I40" s="64"/>
      <c r="J40" s="64"/>
      <c r="K40" s="68"/>
      <c r="L40" s="112"/>
      <c r="M40" s="64"/>
      <c r="N40" s="64"/>
      <c r="O40" s="64"/>
      <c r="P40" s="68"/>
      <c r="S40" s="94"/>
    </row>
    <row r="41" spans="1:19" s="58" customFormat="1" ht="48.75" customHeight="1" x14ac:dyDescent="0.25">
      <c r="A41" s="71">
        <v>10</v>
      </c>
      <c r="B41" s="91" t="s">
        <v>108</v>
      </c>
      <c r="C41" s="228" t="s">
        <v>778</v>
      </c>
      <c r="D41" s="145" t="s">
        <v>114</v>
      </c>
      <c r="E41" s="381">
        <v>36</v>
      </c>
      <c r="F41" s="92"/>
      <c r="G41" s="64"/>
      <c r="H41" s="93"/>
      <c r="I41" s="74"/>
      <c r="J41" s="64"/>
      <c r="K41" s="68"/>
      <c r="L41" s="112"/>
      <c r="M41" s="64"/>
      <c r="N41" s="64"/>
      <c r="O41" s="64"/>
      <c r="P41" s="68"/>
      <c r="S41" s="94"/>
    </row>
    <row r="42" spans="1:19" s="58" customFormat="1" ht="48.75" customHeight="1" x14ac:dyDescent="0.25">
      <c r="A42" s="71">
        <v>11</v>
      </c>
      <c r="B42" s="91" t="s">
        <v>108</v>
      </c>
      <c r="C42" s="228" t="s">
        <v>777</v>
      </c>
      <c r="D42" s="145" t="s">
        <v>114</v>
      </c>
      <c r="E42" s="381">
        <v>3</v>
      </c>
      <c r="F42" s="92"/>
      <c r="G42" s="64"/>
      <c r="H42" s="93"/>
      <c r="I42" s="64"/>
      <c r="J42" s="64"/>
      <c r="K42" s="68"/>
      <c r="L42" s="112"/>
      <c r="M42" s="64"/>
      <c r="N42" s="64"/>
      <c r="O42" s="64"/>
      <c r="P42" s="68"/>
      <c r="S42" s="94"/>
    </row>
    <row r="43" spans="1:19" s="58" customFormat="1" ht="48.75" customHeight="1" x14ac:dyDescent="0.25">
      <c r="A43" s="71">
        <v>12</v>
      </c>
      <c r="B43" s="91" t="s">
        <v>108</v>
      </c>
      <c r="C43" s="228" t="s">
        <v>776</v>
      </c>
      <c r="D43" s="145" t="s">
        <v>114</v>
      </c>
      <c r="E43" s="381">
        <v>2</v>
      </c>
      <c r="F43" s="92"/>
      <c r="G43" s="64"/>
      <c r="H43" s="93"/>
      <c r="I43" s="74"/>
      <c r="J43" s="64"/>
      <c r="K43" s="68"/>
      <c r="L43" s="112"/>
      <c r="M43" s="64"/>
      <c r="N43" s="64"/>
      <c r="O43" s="64"/>
      <c r="P43" s="68"/>
      <c r="S43" s="94"/>
    </row>
    <row r="44" spans="1:19" s="58" customFormat="1" ht="48.75" customHeight="1" x14ac:dyDescent="0.25">
      <c r="A44" s="71">
        <v>13</v>
      </c>
      <c r="B44" s="91" t="s">
        <v>108</v>
      </c>
      <c r="C44" s="228" t="s">
        <v>775</v>
      </c>
      <c r="D44" s="145" t="s">
        <v>114</v>
      </c>
      <c r="E44" s="381">
        <v>5</v>
      </c>
      <c r="F44" s="92"/>
      <c r="G44" s="64"/>
      <c r="H44" s="93"/>
      <c r="I44" s="64"/>
      <c r="J44" s="64"/>
      <c r="K44" s="68"/>
      <c r="L44" s="112"/>
      <c r="M44" s="64"/>
      <c r="N44" s="64"/>
      <c r="O44" s="64"/>
      <c r="P44" s="68"/>
      <c r="S44" s="94"/>
    </row>
    <row r="45" spans="1:19" s="58" customFormat="1" ht="48.75" customHeight="1" x14ac:dyDescent="0.25">
      <c r="A45" s="71">
        <v>14</v>
      </c>
      <c r="B45" s="91" t="s">
        <v>108</v>
      </c>
      <c r="C45" s="228" t="s">
        <v>774</v>
      </c>
      <c r="D45" s="145" t="s">
        <v>114</v>
      </c>
      <c r="E45" s="381">
        <v>1</v>
      </c>
      <c r="F45" s="92"/>
      <c r="G45" s="64"/>
      <c r="H45" s="93"/>
      <c r="I45" s="74"/>
      <c r="J45" s="64"/>
      <c r="K45" s="68"/>
      <c r="L45" s="112"/>
      <c r="M45" s="64"/>
      <c r="N45" s="64"/>
      <c r="O45" s="64"/>
      <c r="P45" s="68"/>
      <c r="S45" s="94"/>
    </row>
    <row r="46" spans="1:19" s="58" customFormat="1" ht="48.75" customHeight="1" x14ac:dyDescent="0.25">
      <c r="A46" s="71">
        <v>15</v>
      </c>
      <c r="B46" s="91" t="s">
        <v>108</v>
      </c>
      <c r="C46" s="228" t="s">
        <v>773</v>
      </c>
      <c r="D46" s="145" t="s">
        <v>114</v>
      </c>
      <c r="E46" s="381">
        <v>2</v>
      </c>
      <c r="F46" s="92"/>
      <c r="G46" s="64"/>
      <c r="H46" s="93"/>
      <c r="I46" s="64"/>
      <c r="J46" s="64"/>
      <c r="K46" s="68"/>
      <c r="L46" s="112"/>
      <c r="M46" s="64"/>
      <c r="N46" s="64"/>
      <c r="O46" s="64"/>
      <c r="P46" s="68"/>
      <c r="S46" s="94"/>
    </row>
    <row r="47" spans="1:19" s="58" customFormat="1" ht="30.6" customHeight="1" x14ac:dyDescent="0.25">
      <c r="A47" s="71">
        <v>16</v>
      </c>
      <c r="B47" s="91" t="s">
        <v>108</v>
      </c>
      <c r="C47" s="228" t="s">
        <v>772</v>
      </c>
      <c r="D47" s="145" t="s">
        <v>114</v>
      </c>
      <c r="E47" s="381">
        <v>1</v>
      </c>
      <c r="F47" s="92"/>
      <c r="G47" s="64"/>
      <c r="H47" s="93"/>
      <c r="I47" s="74"/>
      <c r="J47" s="64"/>
      <c r="K47" s="68"/>
      <c r="L47" s="112"/>
      <c r="M47" s="64"/>
      <c r="N47" s="64"/>
      <c r="O47" s="64"/>
      <c r="P47" s="68"/>
      <c r="S47" s="94"/>
    </row>
    <row r="48" spans="1:19" s="58" customFormat="1" ht="30.6" customHeight="1" x14ac:dyDescent="0.25">
      <c r="A48" s="71">
        <v>17</v>
      </c>
      <c r="B48" s="91" t="s">
        <v>108</v>
      </c>
      <c r="C48" s="228" t="s">
        <v>771</v>
      </c>
      <c r="D48" s="145" t="s">
        <v>114</v>
      </c>
      <c r="E48" s="381">
        <v>1</v>
      </c>
      <c r="F48" s="92"/>
      <c r="G48" s="64"/>
      <c r="H48" s="93"/>
      <c r="I48" s="64"/>
      <c r="J48" s="64"/>
      <c r="K48" s="68"/>
      <c r="L48" s="112"/>
      <c r="M48" s="64"/>
      <c r="N48" s="64"/>
      <c r="O48" s="64"/>
      <c r="P48" s="68"/>
      <c r="S48" s="94"/>
    </row>
    <row r="49" spans="1:19" s="58" customFormat="1" ht="30.6" customHeight="1" x14ac:dyDescent="0.25">
      <c r="A49" s="71">
        <v>18</v>
      </c>
      <c r="B49" s="91" t="s">
        <v>108</v>
      </c>
      <c r="C49" s="228" t="s">
        <v>770</v>
      </c>
      <c r="D49" s="145" t="s">
        <v>114</v>
      </c>
      <c r="E49" s="381">
        <v>1</v>
      </c>
      <c r="F49" s="92"/>
      <c r="G49" s="64"/>
      <c r="H49" s="93"/>
      <c r="I49" s="74"/>
      <c r="J49" s="64"/>
      <c r="K49" s="68"/>
      <c r="L49" s="112"/>
      <c r="M49" s="64"/>
      <c r="N49" s="64"/>
      <c r="O49" s="64"/>
      <c r="P49" s="68"/>
      <c r="S49" s="94"/>
    </row>
    <row r="50" spans="1:19" s="58" customFormat="1" ht="30.6" customHeight="1" x14ac:dyDescent="0.25">
      <c r="A50" s="71">
        <v>19</v>
      </c>
      <c r="B50" s="91" t="s">
        <v>108</v>
      </c>
      <c r="C50" s="228" t="s">
        <v>769</v>
      </c>
      <c r="D50" s="145" t="s">
        <v>114</v>
      </c>
      <c r="E50" s="381">
        <v>2</v>
      </c>
      <c r="F50" s="92"/>
      <c r="G50" s="64"/>
      <c r="H50" s="93"/>
      <c r="I50" s="64"/>
      <c r="J50" s="64"/>
      <c r="K50" s="68"/>
      <c r="L50" s="112"/>
      <c r="M50" s="64"/>
      <c r="N50" s="64"/>
      <c r="O50" s="64"/>
      <c r="P50" s="68"/>
      <c r="S50" s="94"/>
    </row>
    <row r="51" spans="1:19" s="58" customFormat="1" ht="30.6" customHeight="1" x14ac:dyDescent="0.25">
      <c r="A51" s="71">
        <v>20</v>
      </c>
      <c r="B51" s="91" t="s">
        <v>108</v>
      </c>
      <c r="C51" s="228" t="s">
        <v>768</v>
      </c>
      <c r="D51" s="145" t="s">
        <v>114</v>
      </c>
      <c r="E51" s="381">
        <v>2</v>
      </c>
      <c r="F51" s="92"/>
      <c r="G51" s="64"/>
      <c r="H51" s="93"/>
      <c r="I51" s="74"/>
      <c r="J51" s="64"/>
      <c r="K51" s="68"/>
      <c r="L51" s="112"/>
      <c r="M51" s="64"/>
      <c r="N51" s="64"/>
      <c r="O51" s="64"/>
      <c r="P51" s="68"/>
      <c r="S51" s="94"/>
    </row>
    <row r="52" spans="1:19" s="58" customFormat="1" ht="30.6" customHeight="1" x14ac:dyDescent="0.25">
      <c r="A52" s="71">
        <v>21</v>
      </c>
      <c r="B52" s="91" t="s">
        <v>108</v>
      </c>
      <c r="C52" s="228" t="s">
        <v>767</v>
      </c>
      <c r="D52" s="145" t="s">
        <v>114</v>
      </c>
      <c r="E52" s="381">
        <v>1</v>
      </c>
      <c r="F52" s="92"/>
      <c r="G52" s="64"/>
      <c r="H52" s="93"/>
      <c r="I52" s="64"/>
      <c r="J52" s="64"/>
      <c r="K52" s="68"/>
      <c r="L52" s="112"/>
      <c r="M52" s="64"/>
      <c r="N52" s="64"/>
      <c r="O52" s="64"/>
      <c r="P52" s="68"/>
      <c r="S52" s="94"/>
    </row>
    <row r="53" spans="1:19" s="58" customFormat="1" ht="30.6" customHeight="1" x14ac:dyDescent="0.25">
      <c r="A53" s="71">
        <v>22</v>
      </c>
      <c r="B53" s="91" t="s">
        <v>108</v>
      </c>
      <c r="C53" s="228" t="s">
        <v>766</v>
      </c>
      <c r="D53" s="145" t="s">
        <v>114</v>
      </c>
      <c r="E53" s="381">
        <v>3</v>
      </c>
      <c r="F53" s="92"/>
      <c r="G53" s="64"/>
      <c r="H53" s="93"/>
      <c r="I53" s="74"/>
      <c r="J53" s="64"/>
      <c r="K53" s="68"/>
      <c r="L53" s="112"/>
      <c r="M53" s="64"/>
      <c r="N53" s="64"/>
      <c r="O53" s="64"/>
      <c r="P53" s="68"/>
      <c r="S53" s="94"/>
    </row>
    <row r="54" spans="1:19" s="58" customFormat="1" ht="30.6" customHeight="1" x14ac:dyDescent="0.25">
      <c r="A54" s="71">
        <v>23</v>
      </c>
      <c r="B54" s="91" t="s">
        <v>108</v>
      </c>
      <c r="C54" s="228" t="s">
        <v>765</v>
      </c>
      <c r="D54" s="145" t="s">
        <v>114</v>
      </c>
      <c r="E54" s="381">
        <v>3</v>
      </c>
      <c r="F54" s="92"/>
      <c r="G54" s="64"/>
      <c r="H54" s="93"/>
      <c r="I54" s="64"/>
      <c r="J54" s="64"/>
      <c r="K54" s="68"/>
      <c r="L54" s="112"/>
      <c r="M54" s="64"/>
      <c r="N54" s="64"/>
      <c r="O54" s="64"/>
      <c r="P54" s="68"/>
      <c r="S54" s="94"/>
    </row>
    <row r="55" spans="1:19" s="58" customFormat="1" ht="30.6" customHeight="1" x14ac:dyDescent="0.25">
      <c r="A55" s="71">
        <v>24</v>
      </c>
      <c r="B55" s="91" t="s">
        <v>108</v>
      </c>
      <c r="C55" s="228" t="s">
        <v>764</v>
      </c>
      <c r="D55" s="145" t="s">
        <v>114</v>
      </c>
      <c r="E55" s="381">
        <v>2</v>
      </c>
      <c r="F55" s="92"/>
      <c r="G55" s="64"/>
      <c r="H55" s="93"/>
      <c r="I55" s="74"/>
      <c r="J55" s="64"/>
      <c r="K55" s="68"/>
      <c r="L55" s="112"/>
      <c r="M55" s="64"/>
      <c r="N55" s="64"/>
      <c r="O55" s="64"/>
      <c r="P55" s="68"/>
      <c r="S55" s="94"/>
    </row>
    <row r="56" spans="1:19" s="58" customFormat="1" ht="45" customHeight="1" x14ac:dyDescent="0.25">
      <c r="A56" s="71">
        <v>25</v>
      </c>
      <c r="B56" s="91" t="s">
        <v>108</v>
      </c>
      <c r="C56" s="228" t="s">
        <v>763</v>
      </c>
      <c r="D56" s="145" t="s">
        <v>114</v>
      </c>
      <c r="E56" s="381">
        <v>13</v>
      </c>
      <c r="F56" s="92"/>
      <c r="G56" s="64"/>
      <c r="H56" s="93"/>
      <c r="I56" s="64"/>
      <c r="J56" s="64"/>
      <c r="K56" s="68"/>
      <c r="L56" s="112"/>
      <c r="M56" s="64"/>
      <c r="N56" s="64"/>
      <c r="O56" s="64"/>
      <c r="P56" s="68"/>
      <c r="S56" s="94"/>
    </row>
    <row r="57" spans="1:19" s="58" customFormat="1" ht="45" customHeight="1" x14ac:dyDescent="0.25">
      <c r="A57" s="71">
        <v>26</v>
      </c>
      <c r="B57" s="91" t="s">
        <v>108</v>
      </c>
      <c r="C57" s="228" t="s">
        <v>762</v>
      </c>
      <c r="D57" s="145" t="s">
        <v>114</v>
      </c>
      <c r="E57" s="381">
        <v>6</v>
      </c>
      <c r="F57" s="92"/>
      <c r="G57" s="64"/>
      <c r="H57" s="93"/>
      <c r="I57" s="74"/>
      <c r="J57" s="64"/>
      <c r="K57" s="68"/>
      <c r="L57" s="112"/>
      <c r="M57" s="64"/>
      <c r="N57" s="64"/>
      <c r="O57" s="64"/>
      <c r="P57" s="68"/>
      <c r="S57" s="94"/>
    </row>
    <row r="58" spans="1:19" s="58" customFormat="1" ht="45" customHeight="1" x14ac:dyDescent="0.25">
      <c r="A58" s="71">
        <v>27</v>
      </c>
      <c r="B58" s="91" t="s">
        <v>108</v>
      </c>
      <c r="C58" s="228" t="s">
        <v>761</v>
      </c>
      <c r="D58" s="145" t="s">
        <v>114</v>
      </c>
      <c r="E58" s="381">
        <v>6</v>
      </c>
      <c r="F58" s="92"/>
      <c r="G58" s="64"/>
      <c r="H58" s="93"/>
      <c r="I58" s="64"/>
      <c r="J58" s="64"/>
      <c r="K58" s="68"/>
      <c r="L58" s="112"/>
      <c r="M58" s="64"/>
      <c r="N58" s="64"/>
      <c r="O58" s="64"/>
      <c r="P58" s="68"/>
      <c r="S58" s="94"/>
    </row>
    <row r="59" spans="1:19" s="58" customFormat="1" ht="45" customHeight="1" x14ac:dyDescent="0.25">
      <c r="A59" s="71">
        <v>28</v>
      </c>
      <c r="B59" s="91" t="s">
        <v>108</v>
      </c>
      <c r="C59" s="228" t="s">
        <v>760</v>
      </c>
      <c r="D59" s="145" t="s">
        <v>114</v>
      </c>
      <c r="E59" s="381">
        <v>1</v>
      </c>
      <c r="F59" s="92"/>
      <c r="G59" s="64"/>
      <c r="H59" s="93"/>
      <c r="I59" s="74"/>
      <c r="J59" s="64"/>
      <c r="K59" s="68"/>
      <c r="L59" s="112"/>
      <c r="M59" s="64"/>
      <c r="N59" s="64"/>
      <c r="O59" s="64"/>
      <c r="P59" s="68"/>
      <c r="S59" s="94"/>
    </row>
    <row r="60" spans="1:19" s="58" customFormat="1" ht="45" customHeight="1" x14ac:dyDescent="0.25">
      <c r="A60" s="71">
        <v>29</v>
      </c>
      <c r="B60" s="91" t="s">
        <v>108</v>
      </c>
      <c r="C60" s="228" t="s">
        <v>759</v>
      </c>
      <c r="D60" s="145" t="s">
        <v>114</v>
      </c>
      <c r="E60" s="381">
        <v>3</v>
      </c>
      <c r="F60" s="92"/>
      <c r="G60" s="64"/>
      <c r="H60" s="93"/>
      <c r="I60" s="64"/>
      <c r="J60" s="64"/>
      <c r="K60" s="68"/>
      <c r="L60" s="112"/>
      <c r="M60" s="64"/>
      <c r="N60" s="64"/>
      <c r="O60" s="64"/>
      <c r="P60" s="68"/>
      <c r="S60" s="94"/>
    </row>
    <row r="61" spans="1:19" s="58" customFormat="1" ht="45" customHeight="1" x14ac:dyDescent="0.25">
      <c r="A61" s="71">
        <v>30</v>
      </c>
      <c r="B61" s="91" t="s">
        <v>108</v>
      </c>
      <c r="C61" s="228" t="s">
        <v>758</v>
      </c>
      <c r="D61" s="145" t="s">
        <v>114</v>
      </c>
      <c r="E61" s="381">
        <v>1</v>
      </c>
      <c r="F61" s="92"/>
      <c r="G61" s="64"/>
      <c r="H61" s="93"/>
      <c r="I61" s="74"/>
      <c r="J61" s="64"/>
      <c r="K61" s="68"/>
      <c r="L61" s="112"/>
      <c r="M61" s="64"/>
      <c r="N61" s="64"/>
      <c r="O61" s="64"/>
      <c r="P61" s="68"/>
      <c r="S61" s="94"/>
    </row>
    <row r="62" spans="1:19" s="58" customFormat="1" ht="45" customHeight="1" x14ac:dyDescent="0.25">
      <c r="A62" s="71">
        <v>31</v>
      </c>
      <c r="B62" s="91" t="s">
        <v>108</v>
      </c>
      <c r="C62" s="228" t="s">
        <v>757</v>
      </c>
      <c r="D62" s="145" t="s">
        <v>114</v>
      </c>
      <c r="E62" s="381">
        <v>1</v>
      </c>
      <c r="F62" s="92"/>
      <c r="G62" s="64"/>
      <c r="H62" s="93"/>
      <c r="I62" s="64"/>
      <c r="J62" s="64"/>
      <c r="K62" s="68"/>
      <c r="L62" s="112"/>
      <c r="M62" s="64"/>
      <c r="N62" s="64"/>
      <c r="O62" s="64"/>
      <c r="P62" s="68"/>
      <c r="S62" s="94"/>
    </row>
    <row r="63" spans="1:19" s="58" customFormat="1" ht="27" customHeight="1" x14ac:dyDescent="0.25">
      <c r="A63" s="71">
        <v>32</v>
      </c>
      <c r="B63" s="91" t="s">
        <v>108</v>
      </c>
      <c r="C63" s="228" t="s">
        <v>756</v>
      </c>
      <c r="D63" s="145" t="s">
        <v>110</v>
      </c>
      <c r="E63" s="381">
        <v>6</v>
      </c>
      <c r="F63" s="92"/>
      <c r="G63" s="64"/>
      <c r="H63" s="93"/>
      <c r="I63" s="74"/>
      <c r="J63" s="64"/>
      <c r="K63" s="68"/>
      <c r="L63" s="112"/>
      <c r="M63" s="64"/>
      <c r="N63" s="64"/>
      <c r="O63" s="64"/>
      <c r="P63" s="68"/>
      <c r="S63" s="94"/>
    </row>
    <row r="64" spans="1:19" s="58" customFormat="1" ht="27" customHeight="1" x14ac:dyDescent="0.25">
      <c r="A64" s="71">
        <v>33</v>
      </c>
      <c r="B64" s="91" t="s">
        <v>108</v>
      </c>
      <c r="C64" s="81" t="s">
        <v>755</v>
      </c>
      <c r="D64" s="145" t="s">
        <v>110</v>
      </c>
      <c r="E64" s="323">
        <v>18</v>
      </c>
      <c r="F64" s="92"/>
      <c r="G64" s="64"/>
      <c r="H64" s="93"/>
      <c r="I64" s="64"/>
      <c r="J64" s="64"/>
      <c r="K64" s="68"/>
      <c r="L64" s="112"/>
      <c r="M64" s="64"/>
      <c r="N64" s="64"/>
      <c r="O64" s="64"/>
      <c r="P64" s="68"/>
      <c r="S64" s="94"/>
    </row>
    <row r="65" spans="1:19" s="58" customFormat="1" ht="27" customHeight="1" x14ac:dyDescent="0.25">
      <c r="A65" s="71">
        <v>34</v>
      </c>
      <c r="B65" s="91" t="s">
        <v>108</v>
      </c>
      <c r="C65" s="228" t="s">
        <v>754</v>
      </c>
      <c r="D65" s="145" t="s">
        <v>110</v>
      </c>
      <c r="E65" s="381">
        <v>21</v>
      </c>
      <c r="F65" s="92"/>
      <c r="G65" s="64"/>
      <c r="H65" s="93"/>
      <c r="I65" s="74"/>
      <c r="J65" s="64"/>
      <c r="K65" s="68"/>
      <c r="L65" s="112"/>
      <c r="M65" s="64"/>
      <c r="N65" s="64"/>
      <c r="O65" s="64"/>
      <c r="P65" s="68"/>
      <c r="S65" s="94"/>
    </row>
    <row r="66" spans="1:19" s="58" customFormat="1" ht="27" customHeight="1" x14ac:dyDescent="0.25">
      <c r="A66" s="71">
        <v>35</v>
      </c>
      <c r="B66" s="91" t="s">
        <v>108</v>
      </c>
      <c r="C66" s="228" t="s">
        <v>753</v>
      </c>
      <c r="D66" s="145" t="s">
        <v>110</v>
      </c>
      <c r="E66" s="381">
        <v>6</v>
      </c>
      <c r="F66" s="92"/>
      <c r="G66" s="64"/>
      <c r="H66" s="93"/>
      <c r="I66" s="64"/>
      <c r="J66" s="64"/>
      <c r="K66" s="68"/>
      <c r="L66" s="112"/>
      <c r="M66" s="64"/>
      <c r="N66" s="64"/>
      <c r="O66" s="64"/>
      <c r="P66" s="68"/>
      <c r="S66" s="94"/>
    </row>
    <row r="67" spans="1:19" s="58" customFormat="1" ht="27" customHeight="1" x14ac:dyDescent="0.25">
      <c r="A67" s="71">
        <v>36</v>
      </c>
      <c r="B67" s="91" t="s">
        <v>108</v>
      </c>
      <c r="C67" s="228" t="s">
        <v>752</v>
      </c>
      <c r="D67" s="145" t="s">
        <v>110</v>
      </c>
      <c r="E67" s="381">
        <v>24</v>
      </c>
      <c r="F67" s="92"/>
      <c r="G67" s="64"/>
      <c r="H67" s="93"/>
      <c r="I67" s="74"/>
      <c r="J67" s="64"/>
      <c r="K67" s="68"/>
      <c r="L67" s="112"/>
      <c r="M67" s="64"/>
      <c r="N67" s="64"/>
      <c r="O67" s="64"/>
      <c r="P67" s="68"/>
      <c r="S67" s="94"/>
    </row>
    <row r="68" spans="1:19" s="58" customFormat="1" ht="27" customHeight="1" x14ac:dyDescent="0.25">
      <c r="A68" s="71">
        <v>37</v>
      </c>
      <c r="B68" s="91" t="s">
        <v>108</v>
      </c>
      <c r="C68" s="81" t="s">
        <v>751</v>
      </c>
      <c r="D68" s="145" t="s">
        <v>110</v>
      </c>
      <c r="E68" s="323">
        <v>64</v>
      </c>
      <c r="F68" s="92"/>
      <c r="G68" s="64"/>
      <c r="H68" s="93"/>
      <c r="I68" s="74"/>
      <c r="J68" s="64"/>
      <c r="K68" s="68"/>
      <c r="L68" s="112"/>
      <c r="M68" s="64"/>
      <c r="N68" s="64"/>
      <c r="O68" s="64"/>
      <c r="P68" s="68"/>
      <c r="S68" s="94"/>
    </row>
    <row r="69" spans="1:19" s="58" customFormat="1" ht="37.5" customHeight="1" x14ac:dyDescent="0.25">
      <c r="A69" s="71">
        <v>38</v>
      </c>
      <c r="B69" s="91" t="s">
        <v>108</v>
      </c>
      <c r="C69" s="81" t="s">
        <v>750</v>
      </c>
      <c r="D69" s="145" t="s">
        <v>114</v>
      </c>
      <c r="E69" s="323">
        <v>1</v>
      </c>
      <c r="F69" s="92"/>
      <c r="G69" s="64"/>
      <c r="H69" s="93"/>
      <c r="I69" s="74"/>
      <c r="J69" s="64"/>
      <c r="K69" s="68"/>
      <c r="L69" s="112"/>
      <c r="M69" s="64"/>
      <c r="N69" s="64"/>
      <c r="O69" s="64"/>
      <c r="P69" s="68"/>
      <c r="S69" s="94"/>
    </row>
    <row r="70" spans="1:19" s="58" customFormat="1" ht="37.5" customHeight="1" x14ac:dyDescent="0.25">
      <c r="A70" s="71">
        <v>39</v>
      </c>
      <c r="B70" s="91" t="s">
        <v>108</v>
      </c>
      <c r="C70" s="81" t="s">
        <v>749</v>
      </c>
      <c r="D70" s="145" t="s">
        <v>114</v>
      </c>
      <c r="E70" s="323">
        <v>1</v>
      </c>
      <c r="F70" s="92"/>
      <c r="G70" s="64"/>
      <c r="H70" s="93"/>
      <c r="I70" s="64"/>
      <c r="J70" s="64"/>
      <c r="K70" s="68"/>
      <c r="L70" s="112"/>
      <c r="M70" s="64"/>
      <c r="N70" s="64"/>
      <c r="O70" s="64"/>
      <c r="P70" s="68"/>
      <c r="S70" s="94"/>
    </row>
    <row r="71" spans="1:19" s="58" customFormat="1" ht="27" customHeight="1" x14ac:dyDescent="0.25">
      <c r="A71" s="71">
        <v>40</v>
      </c>
      <c r="B71" s="91" t="s">
        <v>108</v>
      </c>
      <c r="C71" s="81" t="s">
        <v>812</v>
      </c>
      <c r="D71" s="145" t="s">
        <v>114</v>
      </c>
      <c r="E71" s="323">
        <v>3</v>
      </c>
      <c r="F71" s="92"/>
      <c r="G71" s="64"/>
      <c r="H71" s="93"/>
      <c r="I71" s="64"/>
      <c r="J71" s="64"/>
      <c r="K71" s="68"/>
      <c r="L71" s="112"/>
      <c r="M71" s="64"/>
      <c r="N71" s="64"/>
      <c r="O71" s="64"/>
      <c r="P71" s="68"/>
      <c r="S71" s="94"/>
    </row>
    <row r="72" spans="1:19" s="58" customFormat="1" ht="27" customHeight="1" x14ac:dyDescent="0.25">
      <c r="A72" s="71">
        <v>41</v>
      </c>
      <c r="B72" s="91" t="s">
        <v>108</v>
      </c>
      <c r="C72" s="81" t="s">
        <v>748</v>
      </c>
      <c r="D72" s="145" t="s">
        <v>114</v>
      </c>
      <c r="E72" s="323">
        <v>2</v>
      </c>
      <c r="F72" s="92"/>
      <c r="G72" s="64"/>
      <c r="H72" s="93"/>
      <c r="I72" s="74"/>
      <c r="J72" s="64"/>
      <c r="K72" s="68"/>
      <c r="L72" s="112"/>
      <c r="M72" s="64"/>
      <c r="N72" s="64"/>
      <c r="O72" s="64"/>
      <c r="P72" s="68"/>
      <c r="S72" s="94"/>
    </row>
    <row r="73" spans="1:19" s="58" customFormat="1" ht="27" customHeight="1" x14ac:dyDescent="0.25">
      <c r="A73" s="71">
        <v>42</v>
      </c>
      <c r="B73" s="91" t="s">
        <v>108</v>
      </c>
      <c r="C73" s="81" t="s">
        <v>747</v>
      </c>
      <c r="D73" s="145" t="s">
        <v>114</v>
      </c>
      <c r="E73" s="323">
        <v>2</v>
      </c>
      <c r="F73" s="92"/>
      <c r="G73" s="64"/>
      <c r="H73" s="93"/>
      <c r="I73" s="74"/>
      <c r="J73" s="64"/>
      <c r="K73" s="68"/>
      <c r="L73" s="112"/>
      <c r="M73" s="64"/>
      <c r="N73" s="64"/>
      <c r="O73" s="64"/>
      <c r="P73" s="68"/>
      <c r="S73" s="94"/>
    </row>
    <row r="74" spans="1:19" s="58" customFormat="1" ht="27" customHeight="1" x14ac:dyDescent="0.25">
      <c r="A74" s="71">
        <v>43</v>
      </c>
      <c r="B74" s="91" t="s">
        <v>108</v>
      </c>
      <c r="C74" s="81" t="s">
        <v>746</v>
      </c>
      <c r="D74" s="145" t="s">
        <v>114</v>
      </c>
      <c r="E74" s="323">
        <v>5</v>
      </c>
      <c r="F74" s="92"/>
      <c r="G74" s="64"/>
      <c r="H74" s="93"/>
      <c r="I74" s="64"/>
      <c r="J74" s="64"/>
      <c r="K74" s="68"/>
      <c r="L74" s="112"/>
      <c r="M74" s="64"/>
      <c r="N74" s="64"/>
      <c r="O74" s="64"/>
      <c r="P74" s="68"/>
      <c r="S74" s="94"/>
    </row>
    <row r="75" spans="1:19" s="58" customFormat="1" ht="27" customHeight="1" x14ac:dyDescent="0.25">
      <c r="A75" s="71">
        <v>44</v>
      </c>
      <c r="B75" s="91" t="s">
        <v>108</v>
      </c>
      <c r="C75" s="81" t="s">
        <v>745</v>
      </c>
      <c r="D75" s="145" t="s">
        <v>114</v>
      </c>
      <c r="E75" s="323">
        <v>2</v>
      </c>
      <c r="F75" s="92"/>
      <c r="G75" s="64"/>
      <c r="H75" s="93"/>
      <c r="I75" s="64"/>
      <c r="J75" s="64"/>
      <c r="K75" s="68"/>
      <c r="L75" s="112"/>
      <c r="M75" s="64"/>
      <c r="N75" s="64"/>
      <c r="O75" s="64"/>
      <c r="P75" s="68"/>
      <c r="S75" s="94"/>
    </row>
    <row r="76" spans="1:19" s="58" customFormat="1" ht="27" customHeight="1" x14ac:dyDescent="0.25">
      <c r="A76" s="71">
        <v>45</v>
      </c>
      <c r="B76" s="91" t="s">
        <v>108</v>
      </c>
      <c r="C76" s="81" t="s">
        <v>744</v>
      </c>
      <c r="D76" s="145" t="s">
        <v>114</v>
      </c>
      <c r="E76" s="323">
        <v>4</v>
      </c>
      <c r="F76" s="92"/>
      <c r="G76" s="64"/>
      <c r="H76" s="93"/>
      <c r="I76" s="74"/>
      <c r="J76" s="64"/>
      <c r="K76" s="68"/>
      <c r="L76" s="112"/>
      <c r="M76" s="64"/>
      <c r="N76" s="64"/>
      <c r="O76" s="64"/>
      <c r="P76" s="68"/>
      <c r="S76" s="94"/>
    </row>
    <row r="77" spans="1:19" s="58" customFormat="1" ht="27" customHeight="1" x14ac:dyDescent="0.25">
      <c r="A77" s="71">
        <v>46</v>
      </c>
      <c r="B77" s="91" t="s">
        <v>108</v>
      </c>
      <c r="C77" s="81" t="s">
        <v>743</v>
      </c>
      <c r="D77" s="145" t="s">
        <v>114</v>
      </c>
      <c r="E77" s="323">
        <v>1</v>
      </c>
      <c r="F77" s="92"/>
      <c r="G77" s="64"/>
      <c r="H77" s="93"/>
      <c r="I77" s="74"/>
      <c r="J77" s="64"/>
      <c r="K77" s="68"/>
      <c r="L77" s="112"/>
      <c r="M77" s="64"/>
      <c r="N77" s="64"/>
      <c r="O77" s="64"/>
      <c r="P77" s="68"/>
      <c r="S77" s="94"/>
    </row>
    <row r="78" spans="1:19" s="58" customFormat="1" ht="27" customHeight="1" x14ac:dyDescent="0.25">
      <c r="A78" s="71">
        <v>47</v>
      </c>
      <c r="B78" s="91" t="s">
        <v>108</v>
      </c>
      <c r="C78" s="81" t="s">
        <v>742</v>
      </c>
      <c r="D78" s="145" t="s">
        <v>114</v>
      </c>
      <c r="E78" s="323">
        <v>20</v>
      </c>
      <c r="F78" s="92"/>
      <c r="G78" s="64"/>
      <c r="H78" s="93"/>
      <c r="I78" s="64"/>
      <c r="J78" s="64"/>
      <c r="K78" s="68"/>
      <c r="L78" s="112"/>
      <c r="M78" s="64"/>
      <c r="N78" s="64"/>
      <c r="O78" s="64"/>
      <c r="P78" s="68"/>
      <c r="S78" s="94"/>
    </row>
    <row r="79" spans="1:19" s="58" customFormat="1" ht="40.15" customHeight="1" x14ac:dyDescent="0.25">
      <c r="A79" s="71">
        <v>48</v>
      </c>
      <c r="B79" s="91" t="s">
        <v>108</v>
      </c>
      <c r="C79" s="81" t="s">
        <v>741</v>
      </c>
      <c r="D79" s="145" t="s">
        <v>112</v>
      </c>
      <c r="E79" s="323">
        <v>1</v>
      </c>
      <c r="F79" s="92"/>
      <c r="G79" s="64"/>
      <c r="H79" s="93"/>
      <c r="I79" s="64"/>
      <c r="J79" s="64"/>
      <c r="K79" s="68"/>
      <c r="L79" s="112"/>
      <c r="M79" s="64"/>
      <c r="N79" s="64"/>
      <c r="O79" s="64"/>
      <c r="P79" s="68"/>
      <c r="S79" s="94"/>
    </row>
    <row r="80" spans="1:19" s="58" customFormat="1" ht="40.15" customHeight="1" x14ac:dyDescent="0.25">
      <c r="A80" s="71">
        <v>49</v>
      </c>
      <c r="B80" s="91" t="s">
        <v>108</v>
      </c>
      <c r="C80" s="81" t="s">
        <v>740</v>
      </c>
      <c r="D80" s="145" t="s">
        <v>112</v>
      </c>
      <c r="E80" s="323">
        <v>1</v>
      </c>
      <c r="F80" s="92"/>
      <c r="G80" s="64"/>
      <c r="H80" s="93"/>
      <c r="I80" s="74"/>
      <c r="J80" s="64"/>
      <c r="K80" s="68"/>
      <c r="L80" s="112"/>
      <c r="M80" s="64"/>
      <c r="N80" s="64"/>
      <c r="O80" s="64"/>
      <c r="P80" s="68"/>
      <c r="S80" s="94"/>
    </row>
    <row r="81" spans="1:19" s="58" customFormat="1" ht="40.15" customHeight="1" x14ac:dyDescent="0.25">
      <c r="A81" s="71">
        <v>50</v>
      </c>
      <c r="B81" s="91" t="s">
        <v>108</v>
      </c>
      <c r="C81" s="81" t="s">
        <v>739</v>
      </c>
      <c r="D81" s="60" t="s">
        <v>112</v>
      </c>
      <c r="E81" s="323">
        <v>1</v>
      </c>
      <c r="F81" s="92"/>
      <c r="G81" s="64"/>
      <c r="H81" s="93"/>
      <c r="I81" s="74"/>
      <c r="J81" s="64"/>
      <c r="K81" s="68"/>
      <c r="L81" s="112"/>
      <c r="M81" s="64"/>
      <c r="N81" s="64"/>
      <c r="O81" s="64"/>
      <c r="P81" s="68"/>
      <c r="S81" s="94"/>
    </row>
    <row r="82" spans="1:19" s="58" customFormat="1" ht="28.9" customHeight="1" x14ac:dyDescent="0.25">
      <c r="A82" s="71">
        <v>51</v>
      </c>
      <c r="B82" s="91" t="s">
        <v>108</v>
      </c>
      <c r="C82" s="81" t="s">
        <v>738</v>
      </c>
      <c r="D82" s="60" t="s">
        <v>112</v>
      </c>
      <c r="E82" s="323">
        <v>20</v>
      </c>
      <c r="F82" s="92"/>
      <c r="G82" s="64"/>
      <c r="H82" s="93"/>
      <c r="I82" s="64"/>
      <c r="J82" s="64"/>
      <c r="K82" s="68"/>
      <c r="L82" s="112"/>
      <c r="M82" s="64"/>
      <c r="N82" s="64"/>
      <c r="O82" s="64"/>
      <c r="P82" s="68"/>
      <c r="S82" s="94"/>
    </row>
    <row r="83" spans="1:19" s="58" customFormat="1" ht="42.75" customHeight="1" x14ac:dyDescent="0.25">
      <c r="A83" s="71">
        <v>52</v>
      </c>
      <c r="B83" s="91" t="s">
        <v>108</v>
      </c>
      <c r="C83" s="81" t="s">
        <v>737</v>
      </c>
      <c r="D83" s="60" t="s">
        <v>114</v>
      </c>
      <c r="E83" s="323">
        <v>42</v>
      </c>
      <c r="F83" s="92"/>
      <c r="G83" s="64"/>
      <c r="H83" s="93"/>
      <c r="I83" s="64"/>
      <c r="J83" s="64"/>
      <c r="K83" s="68"/>
      <c r="L83" s="112"/>
      <c r="M83" s="64"/>
      <c r="N83" s="64"/>
      <c r="O83" s="64"/>
      <c r="P83" s="68"/>
      <c r="S83" s="94"/>
    </row>
    <row r="84" spans="1:19" s="58" customFormat="1" ht="42.75" customHeight="1" x14ac:dyDescent="0.25">
      <c r="A84" s="71">
        <v>53</v>
      </c>
      <c r="B84" s="91" t="s">
        <v>108</v>
      </c>
      <c r="C84" s="81" t="s">
        <v>736</v>
      </c>
      <c r="D84" s="60" t="s">
        <v>114</v>
      </c>
      <c r="E84" s="323">
        <v>4</v>
      </c>
      <c r="F84" s="92"/>
      <c r="G84" s="64"/>
      <c r="H84" s="93"/>
      <c r="I84" s="74"/>
      <c r="J84" s="64"/>
      <c r="K84" s="68"/>
      <c r="L84" s="112"/>
      <c r="M84" s="64"/>
      <c r="N84" s="64"/>
      <c r="O84" s="64"/>
      <c r="P84" s="68"/>
      <c r="S84" s="94"/>
    </row>
    <row r="85" spans="1:19" s="58" customFormat="1" ht="42.75" customHeight="1" x14ac:dyDescent="0.25">
      <c r="A85" s="71">
        <v>54</v>
      </c>
      <c r="B85" s="91" t="s">
        <v>108</v>
      </c>
      <c r="C85" s="81" t="s">
        <v>735</v>
      </c>
      <c r="D85" s="60" t="s">
        <v>114</v>
      </c>
      <c r="E85" s="323">
        <v>1</v>
      </c>
      <c r="F85" s="92"/>
      <c r="G85" s="64"/>
      <c r="H85" s="93"/>
      <c r="I85" s="74"/>
      <c r="J85" s="64"/>
      <c r="K85" s="68"/>
      <c r="L85" s="112"/>
      <c r="M85" s="64"/>
      <c r="N85" s="64"/>
      <c r="O85" s="64"/>
      <c r="P85" s="68"/>
      <c r="S85" s="94"/>
    </row>
    <row r="86" spans="1:19" s="58" customFormat="1" ht="28.9" customHeight="1" x14ac:dyDescent="0.25">
      <c r="A86" s="71">
        <v>55</v>
      </c>
      <c r="B86" s="91" t="s">
        <v>108</v>
      </c>
      <c r="C86" s="81" t="s">
        <v>734</v>
      </c>
      <c r="D86" s="60" t="s">
        <v>114</v>
      </c>
      <c r="E86" s="323">
        <v>2</v>
      </c>
      <c r="F86" s="92"/>
      <c r="G86" s="64"/>
      <c r="H86" s="93"/>
      <c r="I86" s="64"/>
      <c r="J86" s="64"/>
      <c r="K86" s="68"/>
      <c r="L86" s="112"/>
      <c r="M86" s="64"/>
      <c r="N86" s="64"/>
      <c r="O86" s="64"/>
      <c r="P86" s="68"/>
      <c r="S86" s="94"/>
    </row>
    <row r="87" spans="1:19" s="58" customFormat="1" ht="28.9" customHeight="1" x14ac:dyDescent="0.25">
      <c r="A87" s="71">
        <v>56</v>
      </c>
      <c r="B87" s="91" t="s">
        <v>108</v>
      </c>
      <c r="C87" s="81" t="s">
        <v>733</v>
      </c>
      <c r="D87" s="60" t="s">
        <v>114</v>
      </c>
      <c r="E87" s="323">
        <v>2</v>
      </c>
      <c r="F87" s="92"/>
      <c r="G87" s="64"/>
      <c r="H87" s="93"/>
      <c r="I87" s="64"/>
      <c r="J87" s="64"/>
      <c r="K87" s="68"/>
      <c r="L87" s="112"/>
      <c r="M87" s="64"/>
      <c r="N87" s="64"/>
      <c r="O87" s="64"/>
      <c r="P87" s="68"/>
      <c r="S87" s="94"/>
    </row>
    <row r="88" spans="1:19" s="58" customFormat="1" ht="32.25" customHeight="1" x14ac:dyDescent="0.25">
      <c r="A88" s="71">
        <v>57</v>
      </c>
      <c r="B88" s="91" t="s">
        <v>108</v>
      </c>
      <c r="C88" s="81" t="s">
        <v>790</v>
      </c>
      <c r="D88" s="60" t="s">
        <v>124</v>
      </c>
      <c r="E88" s="323">
        <v>4</v>
      </c>
      <c r="F88" s="92"/>
      <c r="G88" s="64"/>
      <c r="H88" s="93"/>
      <c r="I88" s="74"/>
      <c r="J88" s="64"/>
      <c r="K88" s="68"/>
      <c r="L88" s="112"/>
      <c r="M88" s="64"/>
      <c r="N88" s="64"/>
      <c r="O88" s="64"/>
      <c r="P88" s="68"/>
      <c r="S88" s="94"/>
    </row>
    <row r="89" spans="1:19" s="58" customFormat="1" ht="15.6" customHeight="1" x14ac:dyDescent="0.25">
      <c r="A89" s="71">
        <v>58</v>
      </c>
      <c r="B89" s="91" t="s">
        <v>108</v>
      </c>
      <c r="C89" s="81" t="s">
        <v>500</v>
      </c>
      <c r="D89" s="60" t="s">
        <v>112</v>
      </c>
      <c r="E89" s="323">
        <v>2</v>
      </c>
      <c r="F89" s="92"/>
      <c r="G89" s="64"/>
      <c r="H89" s="93"/>
      <c r="I89" s="74"/>
      <c r="J89" s="64"/>
      <c r="K89" s="68"/>
      <c r="L89" s="112"/>
      <c r="M89" s="64"/>
      <c r="N89" s="64"/>
      <c r="O89" s="64"/>
      <c r="P89" s="68"/>
      <c r="S89" s="94"/>
    </row>
    <row r="90" spans="1:19" s="58" customFormat="1" ht="26.45" customHeight="1" x14ac:dyDescent="0.25">
      <c r="A90" s="71">
        <v>59</v>
      </c>
      <c r="B90" s="91" t="s">
        <v>108</v>
      </c>
      <c r="C90" s="81" t="s">
        <v>501</v>
      </c>
      <c r="D90" s="60" t="s">
        <v>112</v>
      </c>
      <c r="E90" s="323">
        <v>12</v>
      </c>
      <c r="F90" s="92"/>
      <c r="G90" s="64"/>
      <c r="H90" s="93"/>
      <c r="I90" s="74"/>
      <c r="J90" s="64"/>
      <c r="K90" s="68"/>
      <c r="L90" s="112"/>
      <c r="M90" s="64"/>
      <c r="N90" s="64"/>
      <c r="O90" s="64"/>
      <c r="P90" s="68"/>
      <c r="S90" s="94"/>
    </row>
    <row r="91" spans="1:19" s="58" customFormat="1" ht="26.85" customHeight="1" x14ac:dyDescent="0.25">
      <c r="A91" s="71">
        <v>60</v>
      </c>
      <c r="B91" s="91" t="s">
        <v>108</v>
      </c>
      <c r="C91" s="81" t="s">
        <v>502</v>
      </c>
      <c r="D91" s="60" t="s">
        <v>112</v>
      </c>
      <c r="E91" s="323">
        <v>1</v>
      </c>
      <c r="F91" s="92"/>
      <c r="G91" s="64"/>
      <c r="H91" s="93"/>
      <c r="I91" s="64"/>
      <c r="J91" s="64"/>
      <c r="K91" s="68"/>
      <c r="L91" s="112"/>
      <c r="M91" s="64"/>
      <c r="N91" s="64"/>
      <c r="O91" s="64"/>
      <c r="P91" s="68"/>
      <c r="S91" s="94"/>
    </row>
    <row r="92" spans="1:19" s="58" customFormat="1" ht="17.100000000000001" customHeight="1" x14ac:dyDescent="0.25">
      <c r="A92" s="71">
        <v>61</v>
      </c>
      <c r="B92" s="91" t="s">
        <v>108</v>
      </c>
      <c r="C92" s="81" t="s">
        <v>503</v>
      </c>
      <c r="D92" s="238" t="s">
        <v>112</v>
      </c>
      <c r="E92" s="323">
        <v>1</v>
      </c>
      <c r="F92" s="92"/>
      <c r="G92" s="64"/>
      <c r="H92" s="93"/>
      <c r="I92" s="74"/>
      <c r="J92" s="64"/>
      <c r="K92" s="68"/>
      <c r="L92" s="112"/>
      <c r="M92" s="64"/>
      <c r="N92" s="64"/>
      <c r="O92" s="64"/>
      <c r="P92" s="68"/>
      <c r="S92" s="94"/>
    </row>
    <row r="93" spans="1:19" s="58" customFormat="1" ht="17.100000000000001" customHeight="1" x14ac:dyDescent="0.25">
      <c r="A93" s="71">
        <v>62</v>
      </c>
      <c r="B93" s="91" t="s">
        <v>108</v>
      </c>
      <c r="C93" s="81" t="s">
        <v>504</v>
      </c>
      <c r="D93" s="238" t="s">
        <v>505</v>
      </c>
      <c r="E93" s="323">
        <v>1</v>
      </c>
      <c r="F93" s="92"/>
      <c r="G93" s="64"/>
      <c r="H93" s="93"/>
      <c r="I93" s="64"/>
      <c r="J93" s="64"/>
      <c r="K93" s="68"/>
      <c r="L93" s="112"/>
      <c r="M93" s="64"/>
      <c r="N93" s="64"/>
      <c r="O93" s="64"/>
      <c r="P93" s="68"/>
      <c r="S93" s="94"/>
    </row>
    <row r="94" spans="1:19" s="58" customFormat="1" ht="17.100000000000001" customHeight="1" x14ac:dyDescent="0.25">
      <c r="A94" s="71">
        <v>63</v>
      </c>
      <c r="B94" s="91" t="s">
        <v>108</v>
      </c>
      <c r="C94" s="81" t="s">
        <v>485</v>
      </c>
      <c r="D94" s="238" t="s">
        <v>112</v>
      </c>
      <c r="E94" s="323">
        <v>1</v>
      </c>
      <c r="F94" s="92"/>
      <c r="G94" s="64"/>
      <c r="H94" s="93"/>
      <c r="I94" s="74"/>
      <c r="J94" s="64"/>
      <c r="K94" s="68"/>
      <c r="L94" s="112"/>
      <c r="M94" s="64"/>
      <c r="N94" s="64"/>
      <c r="O94" s="64"/>
      <c r="P94" s="68"/>
      <c r="S94" s="94"/>
    </row>
    <row r="95" spans="1:19" ht="17.100000000000001" customHeight="1" x14ac:dyDescent="0.25">
      <c r="A95" s="229"/>
      <c r="B95" s="230"/>
      <c r="C95" s="231"/>
      <c r="D95" s="232"/>
      <c r="E95" s="233"/>
      <c r="F95" s="175"/>
      <c r="G95" s="172"/>
      <c r="H95" s="172"/>
      <c r="I95" s="172"/>
      <c r="J95" s="172"/>
      <c r="K95" s="174"/>
      <c r="L95" s="175"/>
      <c r="M95" s="172"/>
      <c r="N95" s="172"/>
      <c r="O95" s="172"/>
      <c r="P95" s="174"/>
    </row>
    <row r="96" spans="1:19" ht="17.100000000000001" customHeight="1" x14ac:dyDescent="0.25">
      <c r="A96" s="234"/>
      <c r="B96" s="235"/>
      <c r="C96" s="446" t="s">
        <v>485</v>
      </c>
      <c r="D96" s="446" t="s">
        <v>112</v>
      </c>
      <c r="E96" s="446">
        <v>1</v>
      </c>
      <c r="F96" s="446"/>
      <c r="G96" s="446"/>
      <c r="H96" s="446"/>
      <c r="I96" s="446"/>
      <c r="J96" s="446"/>
      <c r="K96" s="446"/>
      <c r="L96" s="178">
        <f>SUM(L21:L92)</f>
        <v>0</v>
      </c>
      <c r="M96" s="179">
        <f>SUM(M21:M92)</f>
        <v>0</v>
      </c>
      <c r="N96" s="179">
        <f>SUM(N21:N92)</f>
        <v>0</v>
      </c>
      <c r="O96" s="179">
        <f>SUM(O21:O92)</f>
        <v>0</v>
      </c>
      <c r="P96" s="180">
        <f>SUM(P21:P92)</f>
        <v>0</v>
      </c>
    </row>
    <row r="97" spans="2:6" ht="7.9" customHeight="1" x14ac:dyDescent="0.25"/>
    <row r="98" spans="2:6" x14ac:dyDescent="0.25">
      <c r="B98" s="149" t="s">
        <v>26</v>
      </c>
      <c r="C98" s="181">
        <f>KOPTAME!C58</f>
        <v>0</v>
      </c>
      <c r="E98" s="152">
        <f>'KOPS 1'!F42</f>
        <v>0</v>
      </c>
    </row>
    <row r="99" spans="2:6" x14ac:dyDescent="0.25">
      <c r="C99" s="153" t="s">
        <v>86</v>
      </c>
      <c r="E99" s="153"/>
    </row>
    <row r="100" spans="2:6" x14ac:dyDescent="0.25">
      <c r="C100" s="153"/>
      <c r="E100" s="153"/>
    </row>
    <row r="101" spans="2:6" x14ac:dyDescent="0.25">
      <c r="B101" s="150"/>
      <c r="C101" s="182"/>
      <c r="E101" s="153"/>
      <c r="F101" s="155"/>
    </row>
    <row r="102" spans="2:6" ht="6.6" customHeight="1" x14ac:dyDescent="0.25">
      <c r="E102" s="153"/>
    </row>
    <row r="103" spans="2:6" x14ac:dyDescent="0.25">
      <c r="B103" s="149" t="s">
        <v>28</v>
      </c>
      <c r="C103" s="181">
        <f>KOPTAME!C63</f>
        <v>0</v>
      </c>
      <c r="E103" s="152">
        <f>E98</f>
        <v>0</v>
      </c>
    </row>
    <row r="104" spans="2:6" x14ac:dyDescent="0.25">
      <c r="C104" s="153" t="s">
        <v>86</v>
      </c>
      <c r="E104" s="153"/>
    </row>
    <row r="105" spans="2:6" ht="7.9" customHeight="1" x14ac:dyDescent="0.25">
      <c r="E105" s="153"/>
    </row>
    <row r="106" spans="2:6" x14ac:dyDescent="0.25">
      <c r="C106" s="149">
        <f>KOPTAME!C68</f>
        <v>0</v>
      </c>
    </row>
    <row r="107" spans="2:6" ht="8.4499999999999993" customHeight="1" x14ac:dyDescent="0.25"/>
    <row r="108" spans="2:6" x14ac:dyDescent="0.25">
      <c r="C108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96:K96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AMJ109"/>
  <sheetViews>
    <sheetView view="pageBreakPreview" topLeftCell="A64" zoomScaleNormal="100" workbookViewId="0">
      <selection activeCell="I48" sqref="I48"/>
    </sheetView>
  </sheetViews>
  <sheetFormatPr defaultColWidth="9.140625" defaultRowHeight="15" x14ac:dyDescent="0.25"/>
  <cols>
    <col min="1" max="2" width="9.140625" style="149"/>
    <col min="3" max="3" width="32.85546875" style="149" customWidth="1"/>
    <col min="4" max="4" width="6.7109375" style="149" customWidth="1"/>
    <col min="5" max="5" width="9.140625" style="149"/>
    <col min="6" max="10" width="7.28515625" style="149" customWidth="1"/>
    <col min="11" max="11" width="8" style="149" customWidth="1"/>
    <col min="12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x14ac:dyDescent="0.25">
      <c r="E2" s="455" t="s">
        <v>88</v>
      </c>
      <c r="F2" s="455"/>
      <c r="G2" s="455"/>
      <c r="H2" s="455"/>
      <c r="I2" s="151" t="s">
        <v>649</v>
      </c>
    </row>
    <row r="3" spans="1:16" x14ac:dyDescent="0.25">
      <c r="D3" s="456" t="s">
        <v>78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P97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47" t="s">
        <v>92</v>
      </c>
      <c r="B17" s="448" t="s">
        <v>93</v>
      </c>
      <c r="C17" s="449" t="s">
        <v>94</v>
      </c>
      <c r="D17" s="450" t="s">
        <v>95</v>
      </c>
      <c r="E17" s="451" t="s">
        <v>96</v>
      </c>
      <c r="F17" s="444" t="s">
        <v>97</v>
      </c>
      <c r="G17" s="444"/>
      <c r="H17" s="444"/>
      <c r="I17" s="444"/>
      <c r="J17" s="444"/>
      <c r="K17" s="444"/>
      <c r="L17" s="445" t="s">
        <v>98</v>
      </c>
      <c r="M17" s="445"/>
      <c r="N17" s="445"/>
      <c r="O17" s="445"/>
      <c r="P17" s="445"/>
    </row>
    <row r="18" spans="1:19" ht="58.15" customHeight="1" x14ac:dyDescent="0.25">
      <c r="A18" s="447"/>
      <c r="B18" s="448"/>
      <c r="C18" s="449"/>
      <c r="D18" s="450"/>
      <c r="E18" s="451"/>
      <c r="F18" s="156" t="s">
        <v>99</v>
      </c>
      <c r="G18" s="157" t="s">
        <v>100</v>
      </c>
      <c r="H18" s="157" t="s">
        <v>101</v>
      </c>
      <c r="I18" s="157" t="s">
        <v>102</v>
      </c>
      <c r="J18" s="157" t="s">
        <v>103</v>
      </c>
      <c r="K18" s="158" t="s">
        <v>104</v>
      </c>
      <c r="L18" s="159" t="s">
        <v>105</v>
      </c>
      <c r="M18" s="157" t="s">
        <v>101</v>
      </c>
      <c r="N18" s="157" t="s">
        <v>102</v>
      </c>
      <c r="O18" s="157" t="s">
        <v>103</v>
      </c>
      <c r="P18" s="158" t="s">
        <v>106</v>
      </c>
    </row>
    <row r="19" spans="1:19" x14ac:dyDescent="0.25">
      <c r="A19" s="160">
        <v>1</v>
      </c>
      <c r="B19" s="161">
        <v>2</v>
      </c>
      <c r="C19" s="161">
        <v>3</v>
      </c>
      <c r="D19" s="161">
        <v>4</v>
      </c>
      <c r="E19" s="162">
        <v>5</v>
      </c>
      <c r="F19" s="160">
        <v>6</v>
      </c>
      <c r="G19" s="161">
        <v>7</v>
      </c>
      <c r="H19" s="161">
        <v>8</v>
      </c>
      <c r="I19" s="161">
        <v>9</v>
      </c>
      <c r="J19" s="161">
        <v>10</v>
      </c>
      <c r="K19" s="163">
        <v>11</v>
      </c>
      <c r="L19" s="164">
        <v>12</v>
      </c>
      <c r="M19" s="161">
        <v>13</v>
      </c>
      <c r="N19" s="161">
        <v>14</v>
      </c>
      <c r="O19" s="161">
        <v>15</v>
      </c>
      <c r="P19" s="163">
        <v>16</v>
      </c>
    </row>
    <row r="20" spans="1:19" ht="18.600000000000001" customHeight="1" x14ac:dyDescent="0.25">
      <c r="A20" s="239">
        <v>1</v>
      </c>
      <c r="B20" s="166"/>
      <c r="C20" s="378" t="s">
        <v>526</v>
      </c>
      <c r="D20" s="383"/>
      <c r="E20" s="384"/>
      <c r="F20" s="165"/>
      <c r="G20" s="166"/>
      <c r="H20" s="166"/>
      <c r="I20" s="166"/>
      <c r="J20" s="166"/>
      <c r="K20" s="168"/>
      <c r="L20" s="169"/>
      <c r="M20" s="166"/>
      <c r="N20" s="166"/>
      <c r="O20" s="166"/>
      <c r="P20" s="168"/>
    </row>
    <row r="21" spans="1:19" s="58" customFormat="1" ht="37.9" customHeight="1" x14ac:dyDescent="0.25">
      <c r="A21" s="71">
        <v>2</v>
      </c>
      <c r="B21" s="91" t="s">
        <v>108</v>
      </c>
      <c r="C21" s="146" t="s">
        <v>791</v>
      </c>
      <c r="D21" s="236" t="s">
        <v>112</v>
      </c>
      <c r="E21" s="385">
        <v>1</v>
      </c>
      <c r="F21" s="12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37.9" customHeight="1" x14ac:dyDescent="0.25">
      <c r="A22" s="71">
        <v>3</v>
      </c>
      <c r="B22" s="91" t="s">
        <v>108</v>
      </c>
      <c r="C22" s="146" t="s">
        <v>792</v>
      </c>
      <c r="D22" s="236" t="s">
        <v>112</v>
      </c>
      <c r="E22" s="385">
        <v>1</v>
      </c>
      <c r="F22" s="12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15.6" customHeight="1" x14ac:dyDescent="0.25">
      <c r="A23" s="71">
        <v>4</v>
      </c>
      <c r="B23" s="91" t="s">
        <v>108</v>
      </c>
      <c r="C23" s="146" t="s">
        <v>527</v>
      </c>
      <c r="D23" s="236" t="s">
        <v>112</v>
      </c>
      <c r="E23" s="385">
        <v>1</v>
      </c>
      <c r="F23" s="122"/>
      <c r="G23" s="64"/>
      <c r="H23" s="93"/>
      <c r="I23" s="6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15.6" customHeight="1" x14ac:dyDescent="0.25">
      <c r="A24" s="71">
        <v>5</v>
      </c>
      <c r="B24" s="91"/>
      <c r="C24" s="382" t="s">
        <v>528</v>
      </c>
      <c r="D24" s="236"/>
      <c r="E24" s="385"/>
      <c r="F24" s="122"/>
      <c r="G24" s="64"/>
      <c r="H24" s="93"/>
      <c r="I24" s="6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39" customHeight="1" x14ac:dyDescent="0.25">
      <c r="A25" s="71">
        <v>6</v>
      </c>
      <c r="B25" s="91" t="s">
        <v>108</v>
      </c>
      <c r="C25" s="146" t="s">
        <v>793</v>
      </c>
      <c r="D25" s="236" t="s">
        <v>114</v>
      </c>
      <c r="E25" s="385">
        <v>28</v>
      </c>
      <c r="F25" s="122"/>
      <c r="G25" s="64"/>
      <c r="H25" s="93"/>
      <c r="I25" s="6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39" customHeight="1" x14ac:dyDescent="0.25">
      <c r="A26" s="71">
        <v>7</v>
      </c>
      <c r="B26" s="91" t="s">
        <v>108</v>
      </c>
      <c r="C26" s="146" t="s">
        <v>794</v>
      </c>
      <c r="D26" s="236" t="s">
        <v>114</v>
      </c>
      <c r="E26" s="385">
        <v>40</v>
      </c>
      <c r="F26" s="122"/>
      <c r="G26" s="64"/>
      <c r="H26" s="93"/>
      <c r="I26" s="6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39" customHeight="1" x14ac:dyDescent="0.25">
      <c r="A27" s="71">
        <v>8</v>
      </c>
      <c r="B27" s="91" t="s">
        <v>108</v>
      </c>
      <c r="C27" s="146" t="s">
        <v>795</v>
      </c>
      <c r="D27" s="236" t="s">
        <v>114</v>
      </c>
      <c r="E27" s="385">
        <v>2</v>
      </c>
      <c r="F27" s="122"/>
      <c r="G27" s="64"/>
      <c r="H27" s="93"/>
      <c r="I27" s="6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39" customHeight="1" x14ac:dyDescent="0.25">
      <c r="A28" s="71">
        <v>9</v>
      </c>
      <c r="B28" s="91" t="s">
        <v>108</v>
      </c>
      <c r="C28" s="146" t="s">
        <v>796</v>
      </c>
      <c r="D28" s="236" t="s">
        <v>114</v>
      </c>
      <c r="E28" s="385">
        <v>14</v>
      </c>
      <c r="F28" s="122"/>
      <c r="G28" s="64"/>
      <c r="H28" s="93"/>
      <c r="I28" s="64"/>
      <c r="J28" s="64"/>
      <c r="K28" s="68"/>
      <c r="L28" s="112"/>
      <c r="M28" s="64"/>
      <c r="N28" s="64"/>
      <c r="O28" s="64"/>
      <c r="P28" s="68"/>
      <c r="S28" s="94"/>
    </row>
    <row r="29" spans="1:19" s="58" customFormat="1" ht="39" customHeight="1" x14ac:dyDescent="0.25">
      <c r="A29" s="71">
        <v>10</v>
      </c>
      <c r="B29" s="91" t="s">
        <v>108</v>
      </c>
      <c r="C29" s="146" t="s">
        <v>797</v>
      </c>
      <c r="D29" s="236" t="s">
        <v>114</v>
      </c>
      <c r="E29" s="385">
        <v>9</v>
      </c>
      <c r="F29" s="122"/>
      <c r="G29" s="64"/>
      <c r="H29" s="93"/>
      <c r="I29" s="64"/>
      <c r="J29" s="64"/>
      <c r="K29" s="68"/>
      <c r="L29" s="112"/>
      <c r="M29" s="64"/>
      <c r="N29" s="64"/>
      <c r="O29" s="64"/>
      <c r="P29" s="68"/>
      <c r="S29" s="94"/>
    </row>
    <row r="30" spans="1:19" s="58" customFormat="1" ht="39" customHeight="1" x14ac:dyDescent="0.25">
      <c r="A30" s="71">
        <v>11</v>
      </c>
      <c r="B30" s="91" t="s">
        <v>108</v>
      </c>
      <c r="C30" s="146" t="s">
        <v>798</v>
      </c>
      <c r="D30" s="236" t="s">
        <v>114</v>
      </c>
      <c r="E30" s="385">
        <v>3</v>
      </c>
      <c r="F30" s="122"/>
      <c r="G30" s="64"/>
      <c r="H30" s="93"/>
      <c r="I30" s="64"/>
      <c r="J30" s="64"/>
      <c r="K30" s="68"/>
      <c r="L30" s="112"/>
      <c r="M30" s="64"/>
      <c r="N30" s="64"/>
      <c r="O30" s="64"/>
      <c r="P30" s="68"/>
      <c r="S30" s="94"/>
    </row>
    <row r="31" spans="1:19" s="58" customFormat="1" ht="39" customHeight="1" x14ac:dyDescent="0.25">
      <c r="A31" s="71">
        <v>12</v>
      </c>
      <c r="B31" s="91" t="s">
        <v>108</v>
      </c>
      <c r="C31" s="146" t="s">
        <v>799</v>
      </c>
      <c r="D31" s="236" t="s">
        <v>114</v>
      </c>
      <c r="E31" s="385">
        <v>12</v>
      </c>
      <c r="F31" s="122"/>
      <c r="G31" s="64"/>
      <c r="H31" s="93"/>
      <c r="I31" s="64"/>
      <c r="J31" s="64"/>
      <c r="K31" s="68"/>
      <c r="L31" s="112"/>
      <c r="M31" s="64"/>
      <c r="N31" s="64"/>
      <c r="O31" s="64"/>
      <c r="P31" s="68"/>
      <c r="S31" s="94"/>
    </row>
    <row r="32" spans="1:19" s="58" customFormat="1" ht="39" customHeight="1" x14ac:dyDescent="0.25">
      <c r="A32" s="71">
        <v>13</v>
      </c>
      <c r="B32" s="91" t="s">
        <v>108</v>
      </c>
      <c r="C32" s="146" t="s">
        <v>800</v>
      </c>
      <c r="D32" s="236" t="s">
        <v>114</v>
      </c>
      <c r="E32" s="385">
        <v>12</v>
      </c>
      <c r="F32" s="122"/>
      <c r="G32" s="64"/>
      <c r="H32" s="93"/>
      <c r="I32" s="64"/>
      <c r="J32" s="64"/>
      <c r="K32" s="68"/>
      <c r="L32" s="112"/>
      <c r="M32" s="64"/>
      <c r="N32" s="64"/>
      <c r="O32" s="64"/>
      <c r="P32" s="68"/>
      <c r="S32" s="94"/>
    </row>
    <row r="33" spans="1:19" s="58" customFormat="1" ht="39" customHeight="1" x14ac:dyDescent="0.25">
      <c r="A33" s="71">
        <v>14</v>
      </c>
      <c r="B33" s="91" t="s">
        <v>108</v>
      </c>
      <c r="C33" s="146" t="s">
        <v>801</v>
      </c>
      <c r="D33" s="236" t="s">
        <v>114</v>
      </c>
      <c r="E33" s="385">
        <v>1</v>
      </c>
      <c r="F33" s="122"/>
      <c r="G33" s="64"/>
      <c r="H33" s="93"/>
      <c r="I33" s="64"/>
      <c r="J33" s="64"/>
      <c r="K33" s="68"/>
      <c r="L33" s="112"/>
      <c r="M33" s="64"/>
      <c r="N33" s="64"/>
      <c r="O33" s="64"/>
      <c r="P33" s="68"/>
      <c r="S33" s="94"/>
    </row>
    <row r="34" spans="1:19" s="58" customFormat="1" ht="39" customHeight="1" x14ac:dyDescent="0.25">
      <c r="A34" s="71">
        <v>15</v>
      </c>
      <c r="B34" s="91" t="s">
        <v>108</v>
      </c>
      <c r="C34" s="146" t="s">
        <v>802</v>
      </c>
      <c r="D34" s="236" t="s">
        <v>114</v>
      </c>
      <c r="E34" s="385">
        <v>2</v>
      </c>
      <c r="F34" s="122"/>
      <c r="G34" s="64"/>
      <c r="H34" s="93"/>
      <c r="I34" s="64"/>
      <c r="J34" s="64"/>
      <c r="K34" s="68"/>
      <c r="L34" s="112"/>
      <c r="M34" s="64"/>
      <c r="N34" s="64"/>
      <c r="O34" s="64"/>
      <c r="P34" s="68"/>
      <c r="S34" s="94"/>
    </row>
    <row r="35" spans="1:19" s="58" customFormat="1" ht="39" customHeight="1" x14ac:dyDescent="0.25">
      <c r="A35" s="71">
        <v>16</v>
      </c>
      <c r="B35" s="91" t="s">
        <v>108</v>
      </c>
      <c r="C35" s="146" t="s">
        <v>803</v>
      </c>
      <c r="D35" s="236" t="s">
        <v>114</v>
      </c>
      <c r="E35" s="385">
        <v>1</v>
      </c>
      <c r="F35" s="122"/>
      <c r="G35" s="64"/>
      <c r="H35" s="93"/>
      <c r="I35" s="64"/>
      <c r="J35" s="64"/>
      <c r="K35" s="68"/>
      <c r="L35" s="112"/>
      <c r="M35" s="64"/>
      <c r="N35" s="64"/>
      <c r="O35" s="64"/>
      <c r="P35" s="68"/>
      <c r="S35" s="94"/>
    </row>
    <row r="36" spans="1:19" s="58" customFormat="1" ht="39" customHeight="1" x14ac:dyDescent="0.25">
      <c r="A36" s="71">
        <v>17</v>
      </c>
      <c r="B36" s="91" t="s">
        <v>108</v>
      </c>
      <c r="C36" s="146" t="s">
        <v>804</v>
      </c>
      <c r="D36" s="236" t="s">
        <v>114</v>
      </c>
      <c r="E36" s="385">
        <v>2</v>
      </c>
      <c r="F36" s="122"/>
      <c r="G36" s="64"/>
      <c r="H36" s="93"/>
      <c r="I36" s="64"/>
      <c r="J36" s="64"/>
      <c r="K36" s="68"/>
      <c r="L36" s="112"/>
      <c r="M36" s="64"/>
      <c r="N36" s="64"/>
      <c r="O36" s="64"/>
      <c r="P36" s="68"/>
      <c r="S36" s="94"/>
    </row>
    <row r="37" spans="1:19" s="58" customFormat="1" ht="39" customHeight="1" x14ac:dyDescent="0.25">
      <c r="A37" s="71">
        <v>18</v>
      </c>
      <c r="B37" s="91" t="s">
        <v>108</v>
      </c>
      <c r="C37" s="146" t="s">
        <v>805</v>
      </c>
      <c r="D37" s="236" t="s">
        <v>114</v>
      </c>
      <c r="E37" s="385">
        <v>1</v>
      </c>
      <c r="F37" s="122"/>
      <c r="G37" s="64"/>
      <c r="H37" s="93"/>
      <c r="I37" s="64"/>
      <c r="J37" s="64"/>
      <c r="K37" s="68"/>
      <c r="L37" s="112"/>
      <c r="M37" s="64"/>
      <c r="N37" s="64"/>
      <c r="O37" s="64"/>
      <c r="P37" s="68"/>
      <c r="S37" s="94"/>
    </row>
    <row r="38" spans="1:19" s="58" customFormat="1" ht="26.85" customHeight="1" x14ac:dyDescent="0.25">
      <c r="A38" s="71">
        <v>19</v>
      </c>
      <c r="B38" s="91" t="s">
        <v>108</v>
      </c>
      <c r="C38" s="146" t="s">
        <v>806</v>
      </c>
      <c r="D38" s="236" t="s">
        <v>114</v>
      </c>
      <c r="E38" s="385">
        <v>6</v>
      </c>
      <c r="F38" s="122"/>
      <c r="G38" s="64"/>
      <c r="H38" s="93"/>
      <c r="I38" s="64"/>
      <c r="J38" s="64"/>
      <c r="K38" s="68"/>
      <c r="L38" s="112"/>
      <c r="M38" s="64"/>
      <c r="N38" s="64"/>
      <c r="O38" s="64"/>
      <c r="P38" s="68"/>
      <c r="S38" s="94"/>
    </row>
    <row r="39" spans="1:19" s="58" customFormat="1" ht="26.85" customHeight="1" x14ac:dyDescent="0.25">
      <c r="A39" s="71">
        <v>20</v>
      </c>
      <c r="B39" s="91" t="s">
        <v>108</v>
      </c>
      <c r="C39" s="146" t="s">
        <v>807</v>
      </c>
      <c r="D39" s="236" t="s">
        <v>114</v>
      </c>
      <c r="E39" s="385">
        <v>2</v>
      </c>
      <c r="F39" s="122"/>
      <c r="G39" s="64"/>
      <c r="H39" s="93"/>
      <c r="I39" s="64"/>
      <c r="J39" s="64"/>
      <c r="K39" s="68"/>
      <c r="L39" s="112"/>
      <c r="M39" s="64"/>
      <c r="N39" s="64"/>
      <c r="O39" s="64"/>
      <c r="P39" s="68"/>
      <c r="S39" s="94"/>
    </row>
    <row r="40" spans="1:19" s="58" customFormat="1" ht="36.6" customHeight="1" x14ac:dyDescent="0.25">
      <c r="A40" s="71">
        <v>21</v>
      </c>
      <c r="B40" s="91" t="s">
        <v>108</v>
      </c>
      <c r="C40" s="146" t="s">
        <v>808</v>
      </c>
      <c r="D40" s="236" t="s">
        <v>114</v>
      </c>
      <c r="E40" s="385">
        <v>1</v>
      </c>
      <c r="F40" s="122"/>
      <c r="G40" s="64"/>
      <c r="H40" s="93"/>
      <c r="I40" s="64"/>
      <c r="J40" s="64"/>
      <c r="K40" s="68"/>
      <c r="L40" s="112"/>
      <c r="M40" s="64"/>
      <c r="N40" s="64"/>
      <c r="O40" s="64"/>
      <c r="P40" s="68"/>
      <c r="S40" s="94"/>
    </row>
    <row r="41" spans="1:19" s="58" customFormat="1" ht="38.85" customHeight="1" x14ac:dyDescent="0.25">
      <c r="A41" s="71">
        <v>22</v>
      </c>
      <c r="B41" s="91" t="s">
        <v>108</v>
      </c>
      <c r="C41" s="146" t="s">
        <v>809</v>
      </c>
      <c r="D41" s="236" t="s">
        <v>114</v>
      </c>
      <c r="E41" s="385">
        <v>4</v>
      </c>
      <c r="F41" s="122"/>
      <c r="G41" s="64"/>
      <c r="H41" s="93"/>
      <c r="I41" s="64"/>
      <c r="J41" s="64"/>
      <c r="K41" s="68"/>
      <c r="L41" s="112"/>
      <c r="M41" s="64"/>
      <c r="N41" s="64"/>
      <c r="O41" s="64"/>
      <c r="P41" s="68"/>
      <c r="S41" s="94"/>
    </row>
    <row r="42" spans="1:19" s="58" customFormat="1" ht="36.75" customHeight="1" x14ac:dyDescent="0.25">
      <c r="A42" s="71">
        <v>23</v>
      </c>
      <c r="B42" s="91" t="s">
        <v>108</v>
      </c>
      <c r="C42" s="146" t="s">
        <v>810</v>
      </c>
      <c r="D42" s="236" t="s">
        <v>114</v>
      </c>
      <c r="E42" s="385">
        <v>6</v>
      </c>
      <c r="F42" s="122"/>
      <c r="G42" s="64"/>
      <c r="H42" s="93"/>
      <c r="I42" s="64"/>
      <c r="J42" s="64"/>
      <c r="K42" s="68"/>
      <c r="L42" s="112"/>
      <c r="M42" s="64"/>
      <c r="N42" s="64"/>
      <c r="O42" s="64"/>
      <c r="P42" s="68"/>
      <c r="S42" s="94"/>
    </row>
    <row r="43" spans="1:19" s="58" customFormat="1" ht="69" customHeight="1" x14ac:dyDescent="0.25">
      <c r="A43" s="71">
        <v>24</v>
      </c>
      <c r="B43" s="91" t="s">
        <v>108</v>
      </c>
      <c r="C43" s="146" t="s">
        <v>880</v>
      </c>
      <c r="D43" s="236" t="s">
        <v>112</v>
      </c>
      <c r="E43" s="385">
        <v>1</v>
      </c>
      <c r="F43" s="122"/>
      <c r="G43" s="64"/>
      <c r="H43" s="93"/>
      <c r="I43" s="64"/>
      <c r="J43" s="64"/>
      <c r="K43" s="68"/>
      <c r="L43" s="112"/>
      <c r="M43" s="64"/>
      <c r="N43" s="64"/>
      <c r="O43" s="64"/>
      <c r="P43" s="68"/>
      <c r="S43" s="94"/>
    </row>
    <row r="44" spans="1:19" s="58" customFormat="1" ht="15.6" customHeight="1" x14ac:dyDescent="0.25">
      <c r="A44" s="71">
        <v>25</v>
      </c>
      <c r="B44" s="91" t="s">
        <v>108</v>
      </c>
      <c r="C44" s="146" t="s">
        <v>527</v>
      </c>
      <c r="D44" s="236" t="s">
        <v>112</v>
      </c>
      <c r="E44" s="385">
        <v>1</v>
      </c>
      <c r="F44" s="122"/>
      <c r="G44" s="64"/>
      <c r="H44" s="93"/>
      <c r="I44" s="64"/>
      <c r="J44" s="64"/>
      <c r="K44" s="68"/>
      <c r="L44" s="112"/>
      <c r="M44" s="64"/>
      <c r="N44" s="64"/>
      <c r="O44" s="64"/>
      <c r="P44" s="68"/>
      <c r="S44" s="94"/>
    </row>
    <row r="45" spans="1:19" s="58" customFormat="1" ht="15.6" customHeight="1" x14ac:dyDescent="0.25">
      <c r="A45" s="71">
        <v>26</v>
      </c>
      <c r="B45" s="91"/>
      <c r="C45" s="382" t="s">
        <v>529</v>
      </c>
      <c r="D45" s="236"/>
      <c r="E45" s="385"/>
      <c r="F45" s="122"/>
      <c r="G45" s="64"/>
      <c r="H45" s="93"/>
      <c r="I45" s="64"/>
      <c r="J45" s="64"/>
      <c r="K45" s="68"/>
      <c r="L45" s="112"/>
      <c r="M45" s="64"/>
      <c r="N45" s="64"/>
      <c r="O45" s="64"/>
      <c r="P45" s="68"/>
      <c r="S45" s="94"/>
    </row>
    <row r="46" spans="1:19" s="58" customFormat="1" ht="33" customHeight="1" x14ac:dyDescent="0.25">
      <c r="A46" s="71">
        <v>27</v>
      </c>
      <c r="B46" s="91" t="s">
        <v>108</v>
      </c>
      <c r="C46" s="146" t="s">
        <v>530</v>
      </c>
      <c r="D46" s="236" t="s">
        <v>114</v>
      </c>
      <c r="E46" s="385">
        <v>103</v>
      </c>
      <c r="F46" s="122"/>
      <c r="G46" s="64"/>
      <c r="H46" s="93"/>
      <c r="I46" s="64"/>
      <c r="J46" s="64"/>
      <c r="K46" s="68"/>
      <c r="L46" s="112"/>
      <c r="M46" s="64"/>
      <c r="N46" s="64"/>
      <c r="O46" s="64"/>
      <c r="P46" s="68"/>
      <c r="S46" s="94"/>
    </row>
    <row r="47" spans="1:19" s="58" customFormat="1" ht="33" customHeight="1" x14ac:dyDescent="0.25">
      <c r="A47" s="71">
        <v>28</v>
      </c>
      <c r="B47" s="91" t="s">
        <v>108</v>
      </c>
      <c r="C47" s="146" t="s">
        <v>813</v>
      </c>
      <c r="D47" s="236" t="s">
        <v>114</v>
      </c>
      <c r="E47" s="385">
        <v>2</v>
      </c>
      <c r="F47" s="122"/>
      <c r="G47" s="64"/>
      <c r="H47" s="93"/>
      <c r="I47" s="64"/>
      <c r="J47" s="64"/>
      <c r="K47" s="68"/>
      <c r="L47" s="112"/>
      <c r="M47" s="64"/>
      <c r="N47" s="64"/>
      <c r="O47" s="64"/>
      <c r="P47" s="68"/>
      <c r="S47" s="94"/>
    </row>
    <row r="48" spans="1:19" s="58" customFormat="1" ht="33" customHeight="1" x14ac:dyDescent="0.25">
      <c r="A48" s="71">
        <v>29</v>
      </c>
      <c r="B48" s="91" t="s">
        <v>108</v>
      </c>
      <c r="C48" s="146" t="s">
        <v>814</v>
      </c>
      <c r="D48" s="236" t="s">
        <v>114</v>
      </c>
      <c r="E48" s="385">
        <v>12</v>
      </c>
      <c r="F48" s="122"/>
      <c r="G48" s="64"/>
      <c r="H48" s="93"/>
      <c r="I48" s="64"/>
      <c r="J48" s="64"/>
      <c r="K48" s="68"/>
      <c r="L48" s="112"/>
      <c r="M48" s="64"/>
      <c r="N48" s="64"/>
      <c r="O48" s="64"/>
      <c r="P48" s="68"/>
      <c r="S48" s="94"/>
    </row>
    <row r="49" spans="1:19" s="58" customFormat="1" ht="33" customHeight="1" x14ac:dyDescent="0.25">
      <c r="A49" s="71">
        <v>30</v>
      </c>
      <c r="B49" s="91" t="s">
        <v>108</v>
      </c>
      <c r="C49" s="146" t="s">
        <v>531</v>
      </c>
      <c r="D49" s="236" t="s">
        <v>114</v>
      </c>
      <c r="E49" s="385">
        <v>9</v>
      </c>
      <c r="F49" s="122"/>
      <c r="G49" s="64"/>
      <c r="H49" s="93"/>
      <c r="I49" s="64"/>
      <c r="J49" s="64"/>
      <c r="K49" s="68"/>
      <c r="L49" s="112"/>
      <c r="M49" s="64"/>
      <c r="N49" s="64"/>
      <c r="O49" s="64"/>
      <c r="P49" s="68"/>
      <c r="S49" s="94"/>
    </row>
    <row r="50" spans="1:19" s="58" customFormat="1" ht="33" customHeight="1" x14ac:dyDescent="0.25">
      <c r="A50" s="71">
        <v>31</v>
      </c>
      <c r="B50" s="91" t="s">
        <v>108</v>
      </c>
      <c r="C50" s="146" t="s">
        <v>532</v>
      </c>
      <c r="D50" s="236" t="s">
        <v>114</v>
      </c>
      <c r="E50" s="385">
        <v>10</v>
      </c>
      <c r="F50" s="122"/>
      <c r="G50" s="64"/>
      <c r="H50" s="93"/>
      <c r="I50" s="64"/>
      <c r="J50" s="64"/>
      <c r="K50" s="68"/>
      <c r="L50" s="112"/>
      <c r="M50" s="64"/>
      <c r="N50" s="64"/>
      <c r="O50" s="64"/>
      <c r="P50" s="68"/>
      <c r="S50" s="94"/>
    </row>
    <row r="51" spans="1:19" s="58" customFormat="1" ht="33" customHeight="1" x14ac:dyDescent="0.25">
      <c r="A51" s="71">
        <v>32</v>
      </c>
      <c r="B51" s="91" t="s">
        <v>108</v>
      </c>
      <c r="C51" s="146" t="s">
        <v>815</v>
      </c>
      <c r="D51" s="236" t="s">
        <v>114</v>
      </c>
      <c r="E51" s="385">
        <v>4</v>
      </c>
      <c r="F51" s="122"/>
      <c r="G51" s="64"/>
      <c r="H51" s="93"/>
      <c r="I51" s="64"/>
      <c r="J51" s="64"/>
      <c r="K51" s="68"/>
      <c r="L51" s="112"/>
      <c r="M51" s="64"/>
      <c r="N51" s="64"/>
      <c r="O51" s="64"/>
      <c r="P51" s="68"/>
      <c r="S51" s="94"/>
    </row>
    <row r="52" spans="1:19" s="58" customFormat="1" ht="33" customHeight="1" x14ac:dyDescent="0.25">
      <c r="A52" s="71">
        <v>33</v>
      </c>
      <c r="B52" s="91" t="s">
        <v>108</v>
      </c>
      <c r="C52" s="146" t="s">
        <v>816</v>
      </c>
      <c r="D52" s="236" t="s">
        <v>114</v>
      </c>
      <c r="E52" s="385">
        <v>2</v>
      </c>
      <c r="F52" s="122"/>
      <c r="G52" s="64"/>
      <c r="H52" s="93"/>
      <c r="I52" s="64"/>
      <c r="J52" s="64"/>
      <c r="K52" s="68"/>
      <c r="L52" s="112"/>
      <c r="M52" s="64"/>
      <c r="N52" s="64"/>
      <c r="O52" s="64"/>
      <c r="P52" s="68"/>
      <c r="S52" s="94"/>
    </row>
    <row r="53" spans="1:19" s="58" customFormat="1" ht="15.6" customHeight="1" x14ac:dyDescent="0.25">
      <c r="A53" s="71">
        <v>34</v>
      </c>
      <c r="B53" s="91" t="s">
        <v>108</v>
      </c>
      <c r="C53" s="146" t="s">
        <v>533</v>
      </c>
      <c r="D53" s="236" t="s">
        <v>112</v>
      </c>
      <c r="E53" s="385">
        <v>1</v>
      </c>
      <c r="F53" s="122"/>
      <c r="G53" s="64"/>
      <c r="H53" s="93"/>
      <c r="I53" s="64"/>
      <c r="J53" s="64"/>
      <c r="K53" s="68"/>
      <c r="L53" s="112"/>
      <c r="M53" s="64"/>
      <c r="N53" s="64"/>
      <c r="O53" s="64"/>
      <c r="P53" s="68"/>
      <c r="S53" s="94"/>
    </row>
    <row r="54" spans="1:19" s="58" customFormat="1" ht="15.6" customHeight="1" x14ac:dyDescent="0.25">
      <c r="A54" s="71">
        <v>35</v>
      </c>
      <c r="B54" s="91" t="s">
        <v>108</v>
      </c>
      <c r="C54" s="146" t="s">
        <v>534</v>
      </c>
      <c r="D54" s="236" t="s">
        <v>114</v>
      </c>
      <c r="E54" s="385">
        <v>17</v>
      </c>
      <c r="F54" s="122"/>
      <c r="G54" s="64"/>
      <c r="H54" s="93"/>
      <c r="I54" s="64"/>
      <c r="J54" s="64"/>
      <c r="K54" s="68"/>
      <c r="L54" s="112"/>
      <c r="M54" s="64"/>
      <c r="N54" s="64"/>
      <c r="O54" s="64"/>
      <c r="P54" s="68"/>
      <c r="S54" s="94"/>
    </row>
    <row r="55" spans="1:19" s="58" customFormat="1" ht="15.6" customHeight="1" x14ac:dyDescent="0.25">
      <c r="A55" s="71">
        <v>36</v>
      </c>
      <c r="B55" s="91" t="s">
        <v>108</v>
      </c>
      <c r="C55" s="146" t="s">
        <v>535</v>
      </c>
      <c r="D55" s="236" t="s">
        <v>114</v>
      </c>
      <c r="E55" s="385">
        <v>21</v>
      </c>
      <c r="F55" s="122"/>
      <c r="G55" s="64"/>
      <c r="H55" s="93"/>
      <c r="I55" s="64"/>
      <c r="J55" s="64"/>
      <c r="K55" s="68"/>
      <c r="L55" s="112"/>
      <c r="M55" s="64"/>
      <c r="N55" s="64"/>
      <c r="O55" s="64"/>
      <c r="P55" s="68"/>
      <c r="S55" s="94"/>
    </row>
    <row r="56" spans="1:19" s="58" customFormat="1" ht="15.6" customHeight="1" x14ac:dyDescent="0.25">
      <c r="A56" s="71">
        <v>37</v>
      </c>
      <c r="B56" s="91" t="s">
        <v>108</v>
      </c>
      <c r="C56" s="146" t="s">
        <v>536</v>
      </c>
      <c r="D56" s="236" t="s">
        <v>114</v>
      </c>
      <c r="E56" s="385">
        <v>1</v>
      </c>
      <c r="F56" s="122"/>
      <c r="G56" s="64"/>
      <c r="H56" s="93"/>
      <c r="I56" s="64"/>
      <c r="J56" s="64"/>
      <c r="K56" s="68"/>
      <c r="L56" s="112"/>
      <c r="M56" s="64"/>
      <c r="N56" s="64"/>
      <c r="O56" s="64"/>
      <c r="P56" s="68"/>
      <c r="S56" s="94"/>
    </row>
    <row r="57" spans="1:19" s="58" customFormat="1" ht="15.6" customHeight="1" x14ac:dyDescent="0.25">
      <c r="A57" s="71">
        <v>38</v>
      </c>
      <c r="B57" s="91" t="s">
        <v>108</v>
      </c>
      <c r="C57" s="146" t="s">
        <v>537</v>
      </c>
      <c r="D57" s="236" t="s">
        <v>114</v>
      </c>
      <c r="E57" s="385">
        <v>14</v>
      </c>
      <c r="F57" s="122"/>
      <c r="G57" s="64"/>
      <c r="H57" s="93"/>
      <c r="I57" s="64"/>
      <c r="J57" s="64"/>
      <c r="K57" s="68"/>
      <c r="L57" s="112"/>
      <c r="M57" s="64"/>
      <c r="N57" s="64"/>
      <c r="O57" s="64"/>
      <c r="P57" s="68"/>
      <c r="S57" s="94"/>
    </row>
    <row r="58" spans="1:19" s="58" customFormat="1" ht="15.6" customHeight="1" x14ac:dyDescent="0.25">
      <c r="A58" s="71">
        <v>39</v>
      </c>
      <c r="B58" s="91" t="s">
        <v>108</v>
      </c>
      <c r="C58" s="146" t="s">
        <v>538</v>
      </c>
      <c r="D58" s="236" t="s">
        <v>114</v>
      </c>
      <c r="E58" s="385">
        <v>10</v>
      </c>
      <c r="F58" s="122"/>
      <c r="G58" s="64"/>
      <c r="H58" s="93"/>
      <c r="I58" s="64"/>
      <c r="J58" s="64"/>
      <c r="K58" s="68"/>
      <c r="L58" s="112"/>
      <c r="M58" s="64"/>
      <c r="N58" s="64"/>
      <c r="O58" s="64"/>
      <c r="P58" s="68"/>
      <c r="S58" s="94"/>
    </row>
    <row r="59" spans="1:19" s="58" customFormat="1" ht="15.6" customHeight="1" x14ac:dyDescent="0.25">
      <c r="A59" s="71">
        <v>40</v>
      </c>
      <c r="B59" s="91" t="s">
        <v>108</v>
      </c>
      <c r="C59" s="146" t="s">
        <v>527</v>
      </c>
      <c r="D59" s="236" t="s">
        <v>112</v>
      </c>
      <c r="E59" s="385">
        <v>1</v>
      </c>
      <c r="F59" s="122"/>
      <c r="G59" s="64"/>
      <c r="H59" s="93"/>
      <c r="I59" s="64"/>
      <c r="J59" s="64"/>
      <c r="K59" s="68"/>
      <c r="L59" s="112"/>
      <c r="M59" s="64"/>
      <c r="N59" s="64"/>
      <c r="O59" s="64"/>
      <c r="P59" s="68"/>
      <c r="S59" s="94"/>
    </row>
    <row r="60" spans="1:19" s="58" customFormat="1" ht="15.6" customHeight="1" x14ac:dyDescent="0.25">
      <c r="A60" s="71">
        <v>41</v>
      </c>
      <c r="B60" s="91"/>
      <c r="C60" s="382" t="s">
        <v>539</v>
      </c>
      <c r="D60" s="236"/>
      <c r="E60" s="385"/>
      <c r="F60" s="122"/>
      <c r="G60" s="64"/>
      <c r="H60" s="93"/>
      <c r="I60" s="64"/>
      <c r="J60" s="64"/>
      <c r="K60" s="68"/>
      <c r="L60" s="112"/>
      <c r="M60" s="64"/>
      <c r="N60" s="64"/>
      <c r="O60" s="64"/>
      <c r="P60" s="68"/>
      <c r="S60" s="94"/>
    </row>
    <row r="61" spans="1:19" s="58" customFormat="1" ht="15.6" customHeight="1" x14ac:dyDescent="0.25">
      <c r="A61" s="71">
        <v>42</v>
      </c>
      <c r="B61" s="91" t="s">
        <v>108</v>
      </c>
      <c r="C61" s="146" t="s">
        <v>540</v>
      </c>
      <c r="D61" s="236" t="s">
        <v>110</v>
      </c>
      <c r="E61" s="385">
        <v>630</v>
      </c>
      <c r="F61" s="122"/>
      <c r="G61" s="64"/>
      <c r="H61" s="93"/>
      <c r="I61" s="64"/>
      <c r="J61" s="64"/>
      <c r="K61" s="68"/>
      <c r="L61" s="112"/>
      <c r="M61" s="64"/>
      <c r="N61" s="64"/>
      <c r="O61" s="64"/>
      <c r="P61" s="68"/>
      <c r="S61" s="94"/>
    </row>
    <row r="62" spans="1:19" s="58" customFormat="1" ht="15.6" customHeight="1" x14ac:dyDescent="0.25">
      <c r="A62" s="71">
        <v>43</v>
      </c>
      <c r="B62" s="91" t="s">
        <v>108</v>
      </c>
      <c r="C62" s="146" t="s">
        <v>541</v>
      </c>
      <c r="D62" s="236" t="s">
        <v>110</v>
      </c>
      <c r="E62" s="385">
        <v>570</v>
      </c>
      <c r="F62" s="122"/>
      <c r="G62" s="64"/>
      <c r="H62" s="93"/>
      <c r="I62" s="64"/>
      <c r="J62" s="64"/>
      <c r="K62" s="68"/>
      <c r="L62" s="112"/>
      <c r="M62" s="64"/>
      <c r="N62" s="64"/>
      <c r="O62" s="64"/>
      <c r="P62" s="68"/>
      <c r="S62" s="94"/>
    </row>
    <row r="63" spans="1:19" s="58" customFormat="1" ht="15.6" customHeight="1" x14ac:dyDescent="0.25">
      <c r="A63" s="71">
        <v>44</v>
      </c>
      <c r="B63" s="91" t="s">
        <v>108</v>
      </c>
      <c r="C63" s="146" t="s">
        <v>542</v>
      </c>
      <c r="D63" s="236" t="s">
        <v>110</v>
      </c>
      <c r="E63" s="385">
        <v>20</v>
      </c>
      <c r="F63" s="122"/>
      <c r="G63" s="64"/>
      <c r="H63" s="93"/>
      <c r="I63" s="64"/>
      <c r="J63" s="64"/>
      <c r="K63" s="68"/>
      <c r="L63" s="112"/>
      <c r="M63" s="64"/>
      <c r="N63" s="64"/>
      <c r="O63" s="64"/>
      <c r="P63" s="68"/>
      <c r="S63" s="94"/>
    </row>
    <row r="64" spans="1:19" s="58" customFormat="1" ht="15.6" customHeight="1" x14ac:dyDescent="0.25">
      <c r="A64" s="71">
        <v>45</v>
      </c>
      <c r="B64" s="91" t="s">
        <v>108</v>
      </c>
      <c r="C64" s="146" t="s">
        <v>543</v>
      </c>
      <c r="D64" s="236" t="s">
        <v>110</v>
      </c>
      <c r="E64" s="385">
        <v>15</v>
      </c>
      <c r="F64" s="122"/>
      <c r="G64" s="64"/>
      <c r="H64" s="93"/>
      <c r="I64" s="64"/>
      <c r="J64" s="64"/>
      <c r="K64" s="68"/>
      <c r="L64" s="112"/>
      <c r="M64" s="64"/>
      <c r="N64" s="64"/>
      <c r="O64" s="64"/>
      <c r="P64" s="68"/>
      <c r="S64" s="94"/>
    </row>
    <row r="65" spans="1:19" s="58" customFormat="1" ht="15.6" customHeight="1" x14ac:dyDescent="0.25">
      <c r="A65" s="71">
        <v>46</v>
      </c>
      <c r="B65" s="91" t="s">
        <v>108</v>
      </c>
      <c r="C65" s="146" t="s">
        <v>544</v>
      </c>
      <c r="D65" s="236" t="s">
        <v>110</v>
      </c>
      <c r="E65" s="385">
        <v>40</v>
      </c>
      <c r="F65" s="122"/>
      <c r="G65" s="64"/>
      <c r="H65" s="93"/>
      <c r="I65" s="64"/>
      <c r="J65" s="64"/>
      <c r="K65" s="68"/>
      <c r="L65" s="112"/>
      <c r="M65" s="64"/>
      <c r="N65" s="64"/>
      <c r="O65" s="64"/>
      <c r="P65" s="68"/>
      <c r="S65" s="94"/>
    </row>
    <row r="66" spans="1:19" s="58" customFormat="1" ht="15.6" customHeight="1" x14ac:dyDescent="0.25">
      <c r="A66" s="71">
        <v>47</v>
      </c>
      <c r="B66" s="91" t="s">
        <v>108</v>
      </c>
      <c r="C66" s="146" t="s">
        <v>545</v>
      </c>
      <c r="D66" s="236" t="s">
        <v>110</v>
      </c>
      <c r="E66" s="385">
        <v>50</v>
      </c>
      <c r="F66" s="122"/>
      <c r="G66" s="64"/>
      <c r="H66" s="93"/>
      <c r="I66" s="64"/>
      <c r="J66" s="64"/>
      <c r="K66" s="68"/>
      <c r="L66" s="112"/>
      <c r="M66" s="64"/>
      <c r="N66" s="64"/>
      <c r="O66" s="64"/>
      <c r="P66" s="68"/>
      <c r="S66" s="94"/>
    </row>
    <row r="67" spans="1:19" s="58" customFormat="1" ht="15.6" customHeight="1" x14ac:dyDescent="0.25">
      <c r="A67" s="71">
        <v>48</v>
      </c>
      <c r="B67" s="91" t="s">
        <v>108</v>
      </c>
      <c r="C67" s="146" t="s">
        <v>546</v>
      </c>
      <c r="D67" s="236" t="s">
        <v>110</v>
      </c>
      <c r="E67" s="385">
        <v>30</v>
      </c>
      <c r="F67" s="122"/>
      <c r="G67" s="64"/>
      <c r="H67" s="93"/>
      <c r="I67" s="64"/>
      <c r="J67" s="64"/>
      <c r="K67" s="68"/>
      <c r="L67" s="112"/>
      <c r="M67" s="64"/>
      <c r="N67" s="64"/>
      <c r="O67" s="64"/>
      <c r="P67" s="68"/>
      <c r="S67" s="94"/>
    </row>
    <row r="68" spans="1:19" s="58" customFormat="1" ht="15.6" customHeight="1" x14ac:dyDescent="0.25">
      <c r="A68" s="71">
        <v>49</v>
      </c>
      <c r="B68" s="91" t="s">
        <v>108</v>
      </c>
      <c r="C68" s="146" t="s">
        <v>547</v>
      </c>
      <c r="D68" s="236" t="s">
        <v>110</v>
      </c>
      <c r="E68" s="385">
        <v>20</v>
      </c>
      <c r="F68" s="122"/>
      <c r="G68" s="64"/>
      <c r="H68" s="93"/>
      <c r="I68" s="64"/>
      <c r="J68" s="64"/>
      <c r="K68" s="68"/>
      <c r="L68" s="112"/>
      <c r="M68" s="64"/>
      <c r="N68" s="64"/>
      <c r="O68" s="64"/>
      <c r="P68" s="68"/>
      <c r="S68" s="94"/>
    </row>
    <row r="69" spans="1:19" s="58" customFormat="1" ht="15.6" customHeight="1" x14ac:dyDescent="0.25">
      <c r="A69" s="71">
        <v>50</v>
      </c>
      <c r="B69" s="91" t="s">
        <v>108</v>
      </c>
      <c r="C69" s="146" t="s">
        <v>548</v>
      </c>
      <c r="D69" s="236" t="s">
        <v>110</v>
      </c>
      <c r="E69" s="385">
        <v>300</v>
      </c>
      <c r="F69" s="122"/>
      <c r="G69" s="64"/>
      <c r="H69" s="93"/>
      <c r="I69" s="64"/>
      <c r="J69" s="64"/>
      <c r="K69" s="68"/>
      <c r="L69" s="112"/>
      <c r="M69" s="64"/>
      <c r="N69" s="64"/>
      <c r="O69" s="64"/>
      <c r="P69" s="68"/>
      <c r="S69" s="94"/>
    </row>
    <row r="70" spans="1:19" s="58" customFormat="1" ht="15.6" customHeight="1" x14ac:dyDescent="0.25">
      <c r="A70" s="71">
        <v>51</v>
      </c>
      <c r="B70" s="91" t="s">
        <v>108</v>
      </c>
      <c r="C70" s="146" t="s">
        <v>549</v>
      </c>
      <c r="D70" s="236" t="s">
        <v>110</v>
      </c>
      <c r="E70" s="385">
        <v>10</v>
      </c>
      <c r="F70" s="122"/>
      <c r="G70" s="64"/>
      <c r="H70" s="93"/>
      <c r="I70" s="64"/>
      <c r="J70" s="64"/>
      <c r="K70" s="68"/>
      <c r="L70" s="112"/>
      <c r="M70" s="64"/>
      <c r="N70" s="64"/>
      <c r="O70" s="64"/>
      <c r="P70" s="68"/>
      <c r="S70" s="94"/>
    </row>
    <row r="71" spans="1:19" s="58" customFormat="1" ht="22.5" customHeight="1" x14ac:dyDescent="0.25">
      <c r="A71" s="71">
        <v>52</v>
      </c>
      <c r="B71" s="91" t="s">
        <v>108</v>
      </c>
      <c r="C71" s="146" t="s">
        <v>550</v>
      </c>
      <c r="D71" s="236" t="s">
        <v>112</v>
      </c>
      <c r="E71" s="385">
        <v>1</v>
      </c>
      <c r="F71" s="122"/>
      <c r="G71" s="64"/>
      <c r="H71" s="93"/>
      <c r="I71" s="64"/>
      <c r="J71" s="64"/>
      <c r="K71" s="68"/>
      <c r="L71" s="112"/>
      <c r="M71" s="64"/>
      <c r="N71" s="64"/>
      <c r="O71" s="64"/>
      <c r="P71" s="68"/>
      <c r="S71" s="94"/>
    </row>
    <row r="72" spans="1:19" s="58" customFormat="1" ht="15.6" customHeight="1" x14ac:dyDescent="0.25">
      <c r="A72" s="71">
        <v>53</v>
      </c>
      <c r="B72" s="91" t="s">
        <v>108</v>
      </c>
      <c r="C72" s="146" t="s">
        <v>551</v>
      </c>
      <c r="D72" s="236" t="s">
        <v>112</v>
      </c>
      <c r="E72" s="385">
        <v>1</v>
      </c>
      <c r="F72" s="122"/>
      <c r="G72" s="64"/>
      <c r="H72" s="93"/>
      <c r="I72" s="64"/>
      <c r="J72" s="64"/>
      <c r="K72" s="68"/>
      <c r="L72" s="112"/>
      <c r="M72" s="64"/>
      <c r="N72" s="64"/>
      <c r="O72" s="64"/>
      <c r="P72" s="68"/>
      <c r="S72" s="94"/>
    </row>
    <row r="73" spans="1:19" s="58" customFormat="1" ht="24" customHeight="1" x14ac:dyDescent="0.25">
      <c r="A73" s="71">
        <v>54</v>
      </c>
      <c r="B73" s="91" t="s">
        <v>108</v>
      </c>
      <c r="C73" s="146" t="s">
        <v>552</v>
      </c>
      <c r="D73" s="236" t="s">
        <v>553</v>
      </c>
      <c r="E73" s="385">
        <v>1</v>
      </c>
      <c r="F73" s="122"/>
      <c r="G73" s="64"/>
      <c r="H73" s="93"/>
      <c r="I73" s="64"/>
      <c r="J73" s="64"/>
      <c r="K73" s="68"/>
      <c r="L73" s="112"/>
      <c r="M73" s="64"/>
      <c r="N73" s="64"/>
      <c r="O73" s="64"/>
      <c r="P73" s="68"/>
      <c r="S73" s="94"/>
    </row>
    <row r="74" spans="1:19" s="58" customFormat="1" ht="15.6" customHeight="1" x14ac:dyDescent="0.25">
      <c r="A74" s="71">
        <v>55</v>
      </c>
      <c r="B74" s="91" t="s">
        <v>108</v>
      </c>
      <c r="C74" s="146" t="s">
        <v>554</v>
      </c>
      <c r="D74" s="236" t="s">
        <v>114</v>
      </c>
      <c r="E74" s="385">
        <v>3</v>
      </c>
      <c r="F74" s="122"/>
      <c r="G74" s="64"/>
      <c r="H74" s="93"/>
      <c r="I74" s="64"/>
      <c r="J74" s="64"/>
      <c r="K74" s="68"/>
      <c r="L74" s="112"/>
      <c r="M74" s="64"/>
      <c r="N74" s="64"/>
      <c r="O74" s="64"/>
      <c r="P74" s="68"/>
      <c r="S74" s="94"/>
    </row>
    <row r="75" spans="1:19" s="58" customFormat="1" ht="15.6" customHeight="1" x14ac:dyDescent="0.25">
      <c r="A75" s="71">
        <v>56</v>
      </c>
      <c r="B75" s="91" t="s">
        <v>108</v>
      </c>
      <c r="C75" s="146" t="s">
        <v>555</v>
      </c>
      <c r="D75" s="236" t="s">
        <v>180</v>
      </c>
      <c r="E75" s="385">
        <v>1</v>
      </c>
      <c r="F75" s="122"/>
      <c r="G75" s="64"/>
      <c r="H75" s="93"/>
      <c r="I75" s="64"/>
      <c r="J75" s="64"/>
      <c r="K75" s="68"/>
      <c r="L75" s="112"/>
      <c r="M75" s="64"/>
      <c r="N75" s="64"/>
      <c r="O75" s="64"/>
      <c r="P75" s="68"/>
      <c r="S75" s="94"/>
    </row>
    <row r="76" spans="1:19" s="58" customFormat="1" ht="15.6" customHeight="1" x14ac:dyDescent="0.25">
      <c r="A76" s="71">
        <v>57</v>
      </c>
      <c r="B76" s="91" t="s">
        <v>108</v>
      </c>
      <c r="C76" s="146" t="s">
        <v>556</v>
      </c>
      <c r="D76" s="236" t="s">
        <v>177</v>
      </c>
      <c r="E76" s="385">
        <v>2</v>
      </c>
      <c r="F76" s="122"/>
      <c r="G76" s="64"/>
      <c r="H76" s="93"/>
      <c r="I76" s="64"/>
      <c r="J76" s="64"/>
      <c r="K76" s="68"/>
      <c r="L76" s="112"/>
      <c r="M76" s="64"/>
      <c r="N76" s="64"/>
      <c r="O76" s="64"/>
      <c r="P76" s="68"/>
      <c r="S76" s="94"/>
    </row>
    <row r="77" spans="1:19" s="58" customFormat="1" ht="15.6" customHeight="1" x14ac:dyDescent="0.25">
      <c r="A77" s="71">
        <v>58</v>
      </c>
      <c r="B77" s="91" t="s">
        <v>108</v>
      </c>
      <c r="C77" s="146" t="s">
        <v>527</v>
      </c>
      <c r="D77" s="236" t="s">
        <v>112</v>
      </c>
      <c r="E77" s="385">
        <v>1</v>
      </c>
      <c r="F77" s="122"/>
      <c r="G77" s="64"/>
      <c r="H77" s="93"/>
      <c r="I77" s="64"/>
      <c r="J77" s="64"/>
      <c r="K77" s="68"/>
      <c r="L77" s="112"/>
      <c r="M77" s="64"/>
      <c r="N77" s="64"/>
      <c r="O77" s="64"/>
      <c r="P77" s="68"/>
      <c r="S77" s="94"/>
    </row>
    <row r="78" spans="1:19" s="58" customFormat="1" ht="15.6" customHeight="1" x14ac:dyDescent="0.25">
      <c r="A78" s="71">
        <v>59</v>
      </c>
      <c r="B78" s="91"/>
      <c r="C78" s="382" t="s">
        <v>557</v>
      </c>
      <c r="D78" s="236"/>
      <c r="E78" s="385"/>
      <c r="F78" s="122"/>
      <c r="G78" s="64"/>
      <c r="H78" s="93"/>
      <c r="I78" s="64"/>
      <c r="J78" s="64"/>
      <c r="K78" s="68"/>
      <c r="L78" s="112"/>
      <c r="M78" s="64"/>
      <c r="N78" s="64"/>
      <c r="O78" s="64"/>
      <c r="P78" s="68"/>
      <c r="S78" s="94"/>
    </row>
    <row r="79" spans="1:19" s="58" customFormat="1" ht="27.6" customHeight="1" x14ac:dyDescent="0.25">
      <c r="A79" s="71">
        <v>60</v>
      </c>
      <c r="B79" s="91" t="s">
        <v>108</v>
      </c>
      <c r="C79" s="146" t="s">
        <v>558</v>
      </c>
      <c r="D79" s="236" t="s">
        <v>112</v>
      </c>
      <c r="E79" s="385">
        <v>3</v>
      </c>
      <c r="F79" s="122"/>
      <c r="G79" s="64"/>
      <c r="H79" s="93"/>
      <c r="I79" s="64"/>
      <c r="J79" s="64"/>
      <c r="K79" s="68"/>
      <c r="L79" s="112"/>
      <c r="M79" s="64"/>
      <c r="N79" s="64"/>
      <c r="O79" s="64"/>
      <c r="P79" s="68"/>
      <c r="S79" s="94"/>
    </row>
    <row r="80" spans="1:19" s="58" customFormat="1" ht="27.6" customHeight="1" x14ac:dyDescent="0.25">
      <c r="A80" s="71">
        <v>61</v>
      </c>
      <c r="B80" s="91" t="s">
        <v>108</v>
      </c>
      <c r="C80" s="146" t="s">
        <v>559</v>
      </c>
      <c r="D80" s="236" t="s">
        <v>110</v>
      </c>
      <c r="E80" s="385">
        <v>110</v>
      </c>
      <c r="F80" s="122"/>
      <c r="G80" s="64"/>
      <c r="H80" s="93"/>
      <c r="I80" s="64"/>
      <c r="J80" s="64"/>
      <c r="K80" s="68"/>
      <c r="L80" s="112"/>
      <c r="M80" s="64"/>
      <c r="N80" s="64"/>
      <c r="O80" s="64"/>
      <c r="P80" s="68"/>
      <c r="S80" s="94"/>
    </row>
    <row r="81" spans="1:19" s="58" customFormat="1" ht="15.6" customHeight="1" x14ac:dyDescent="0.25">
      <c r="A81" s="71">
        <v>62</v>
      </c>
      <c r="B81" s="91" t="s">
        <v>108</v>
      </c>
      <c r="C81" s="146" t="s">
        <v>560</v>
      </c>
      <c r="D81" s="236" t="s">
        <v>114</v>
      </c>
      <c r="E81" s="385">
        <v>50</v>
      </c>
      <c r="F81" s="122"/>
      <c r="G81" s="64"/>
      <c r="H81" s="93"/>
      <c r="I81" s="64"/>
      <c r="J81" s="64"/>
      <c r="K81" s="68"/>
      <c r="L81" s="112"/>
      <c r="M81" s="64"/>
      <c r="N81" s="64"/>
      <c r="O81" s="64"/>
      <c r="P81" s="68"/>
      <c r="S81" s="94"/>
    </row>
    <row r="82" spans="1:19" s="58" customFormat="1" ht="15.6" customHeight="1" x14ac:dyDescent="0.25">
      <c r="A82" s="71">
        <v>63</v>
      </c>
      <c r="B82" s="91" t="s">
        <v>108</v>
      </c>
      <c r="C82" s="146" t="s">
        <v>561</v>
      </c>
      <c r="D82" s="236" t="s">
        <v>114</v>
      </c>
      <c r="E82" s="385">
        <v>50</v>
      </c>
      <c r="F82" s="122"/>
      <c r="G82" s="64"/>
      <c r="H82" s="93"/>
      <c r="I82" s="64"/>
      <c r="J82" s="64"/>
      <c r="K82" s="68"/>
      <c r="L82" s="112"/>
      <c r="M82" s="64"/>
      <c r="N82" s="64"/>
      <c r="O82" s="64"/>
      <c r="P82" s="68"/>
      <c r="S82" s="94"/>
    </row>
    <row r="83" spans="1:19" s="58" customFormat="1" ht="15.6" customHeight="1" x14ac:dyDescent="0.25">
      <c r="A83" s="71">
        <v>64</v>
      </c>
      <c r="B83" s="91" t="s">
        <v>108</v>
      </c>
      <c r="C83" s="146" t="s">
        <v>562</v>
      </c>
      <c r="D83" s="236" t="s">
        <v>114</v>
      </c>
      <c r="E83" s="385">
        <v>6</v>
      </c>
      <c r="F83" s="122"/>
      <c r="G83" s="64"/>
      <c r="H83" s="93"/>
      <c r="I83" s="64"/>
      <c r="J83" s="64"/>
      <c r="K83" s="68"/>
      <c r="L83" s="112"/>
      <c r="M83" s="64"/>
      <c r="N83" s="64"/>
      <c r="O83" s="64"/>
      <c r="P83" s="68"/>
      <c r="S83" s="94"/>
    </row>
    <row r="84" spans="1:19" s="58" customFormat="1" ht="25.9" customHeight="1" x14ac:dyDescent="0.25">
      <c r="A84" s="71">
        <v>65</v>
      </c>
      <c r="B84" s="91" t="s">
        <v>108</v>
      </c>
      <c r="C84" s="146" t="s">
        <v>563</v>
      </c>
      <c r="D84" s="236" t="s">
        <v>114</v>
      </c>
      <c r="E84" s="385">
        <v>6</v>
      </c>
      <c r="F84" s="122"/>
      <c r="G84" s="64"/>
      <c r="H84" s="93"/>
      <c r="I84" s="64"/>
      <c r="J84" s="64"/>
      <c r="K84" s="68"/>
      <c r="L84" s="112"/>
      <c r="M84" s="64"/>
      <c r="N84" s="64"/>
      <c r="O84" s="64"/>
      <c r="P84" s="68"/>
      <c r="S84" s="94"/>
    </row>
    <row r="85" spans="1:19" s="58" customFormat="1" ht="15.6" customHeight="1" x14ac:dyDescent="0.25">
      <c r="A85" s="71">
        <v>66</v>
      </c>
      <c r="B85" s="91" t="s">
        <v>108</v>
      </c>
      <c r="C85" s="146" t="s">
        <v>527</v>
      </c>
      <c r="D85" s="236" t="s">
        <v>112</v>
      </c>
      <c r="E85" s="385">
        <v>1</v>
      </c>
      <c r="F85" s="122"/>
      <c r="G85" s="64"/>
      <c r="H85" s="93"/>
      <c r="I85" s="64"/>
      <c r="J85" s="64"/>
      <c r="K85" s="68"/>
      <c r="L85" s="112"/>
      <c r="M85" s="64"/>
      <c r="N85" s="64"/>
      <c r="O85" s="64"/>
      <c r="P85" s="68"/>
      <c r="S85" s="94"/>
    </row>
    <row r="86" spans="1:19" s="58" customFormat="1" ht="15.6" customHeight="1" x14ac:dyDescent="0.25">
      <c r="A86" s="71">
        <v>67</v>
      </c>
      <c r="B86" s="91"/>
      <c r="C86" s="382" t="s">
        <v>564</v>
      </c>
      <c r="D86" s="236"/>
      <c r="E86" s="385"/>
      <c r="F86" s="122"/>
      <c r="G86" s="64"/>
      <c r="H86" s="93"/>
      <c r="I86" s="64"/>
      <c r="J86" s="64"/>
      <c r="K86" s="68"/>
      <c r="L86" s="112"/>
      <c r="M86" s="64"/>
      <c r="N86" s="64"/>
      <c r="O86" s="64"/>
      <c r="P86" s="68"/>
      <c r="S86" s="94"/>
    </row>
    <row r="87" spans="1:19" s="58" customFormat="1" ht="15.6" customHeight="1" x14ac:dyDescent="0.25">
      <c r="A87" s="71">
        <v>68</v>
      </c>
      <c r="B87" s="91" t="s">
        <v>108</v>
      </c>
      <c r="C87" s="146" t="s">
        <v>565</v>
      </c>
      <c r="D87" s="236" t="s">
        <v>553</v>
      </c>
      <c r="E87" s="385">
        <v>1</v>
      </c>
      <c r="F87" s="122"/>
      <c r="G87" s="64"/>
      <c r="H87" s="93"/>
      <c r="I87" s="64"/>
      <c r="J87" s="64"/>
      <c r="K87" s="68"/>
      <c r="L87" s="112"/>
      <c r="M87" s="64"/>
      <c r="N87" s="64"/>
      <c r="O87" s="64"/>
      <c r="P87" s="68"/>
      <c r="S87" s="94"/>
    </row>
    <row r="88" spans="1:19" s="58" customFormat="1" ht="15.6" customHeight="1" x14ac:dyDescent="0.25">
      <c r="A88" s="71">
        <v>69</v>
      </c>
      <c r="B88" s="91" t="s">
        <v>108</v>
      </c>
      <c r="C88" s="146" t="s">
        <v>566</v>
      </c>
      <c r="D88" s="236" t="s">
        <v>553</v>
      </c>
      <c r="E88" s="385">
        <v>1</v>
      </c>
      <c r="F88" s="122"/>
      <c r="G88" s="64"/>
      <c r="H88" s="93"/>
      <c r="I88" s="64"/>
      <c r="J88" s="64"/>
      <c r="K88" s="68"/>
      <c r="L88" s="112"/>
      <c r="M88" s="64"/>
      <c r="N88" s="64"/>
      <c r="O88" s="64"/>
      <c r="P88" s="68"/>
      <c r="S88" s="94"/>
    </row>
    <row r="89" spans="1:19" s="58" customFormat="1" ht="26.45" customHeight="1" x14ac:dyDescent="0.25">
      <c r="A89" s="71">
        <v>70</v>
      </c>
      <c r="B89" s="91" t="s">
        <v>108</v>
      </c>
      <c r="C89" s="146" t="s">
        <v>567</v>
      </c>
      <c r="D89" s="236" t="s">
        <v>553</v>
      </c>
      <c r="E89" s="385">
        <v>1</v>
      </c>
      <c r="F89" s="122"/>
      <c r="G89" s="64"/>
      <c r="H89" s="93"/>
      <c r="I89" s="64"/>
      <c r="J89" s="64"/>
      <c r="K89" s="68"/>
      <c r="L89" s="112"/>
      <c r="M89" s="64"/>
      <c r="N89" s="64"/>
      <c r="O89" s="64"/>
      <c r="P89" s="68"/>
      <c r="S89" s="94"/>
    </row>
    <row r="90" spans="1:19" s="58" customFormat="1" ht="15.6" customHeight="1" x14ac:dyDescent="0.25">
      <c r="A90" s="71">
        <v>71</v>
      </c>
      <c r="B90" s="91" t="s">
        <v>108</v>
      </c>
      <c r="C90" s="146" t="s">
        <v>568</v>
      </c>
      <c r="D90" s="236" t="s">
        <v>553</v>
      </c>
      <c r="E90" s="385">
        <v>1</v>
      </c>
      <c r="F90" s="122"/>
      <c r="G90" s="64"/>
      <c r="H90" s="93"/>
      <c r="I90" s="64"/>
      <c r="J90" s="64"/>
      <c r="K90" s="68"/>
      <c r="L90" s="112"/>
      <c r="M90" s="64"/>
      <c r="N90" s="64"/>
      <c r="O90" s="64"/>
      <c r="P90" s="68"/>
      <c r="S90" s="94"/>
    </row>
    <row r="91" spans="1:19" s="58" customFormat="1" ht="15.6" customHeight="1" x14ac:dyDescent="0.25">
      <c r="A91" s="71">
        <v>72</v>
      </c>
      <c r="B91" s="91" t="s">
        <v>108</v>
      </c>
      <c r="C91" s="146" t="s">
        <v>569</v>
      </c>
      <c r="D91" s="236" t="s">
        <v>553</v>
      </c>
      <c r="E91" s="385">
        <v>1</v>
      </c>
      <c r="F91" s="122"/>
      <c r="G91" s="64"/>
      <c r="H91" s="93"/>
      <c r="I91" s="64"/>
      <c r="J91" s="64"/>
      <c r="K91" s="68"/>
      <c r="L91" s="112"/>
      <c r="M91" s="64"/>
      <c r="N91" s="64"/>
      <c r="O91" s="64"/>
      <c r="P91" s="68"/>
      <c r="S91" s="94"/>
    </row>
    <row r="92" spans="1:19" s="58" customFormat="1" ht="15.6" customHeight="1" x14ac:dyDescent="0.25">
      <c r="A92" s="71">
        <v>73</v>
      </c>
      <c r="B92" s="91" t="s">
        <v>108</v>
      </c>
      <c r="C92" s="146" t="s">
        <v>570</v>
      </c>
      <c r="D92" s="236" t="s">
        <v>553</v>
      </c>
      <c r="E92" s="385">
        <v>1</v>
      </c>
      <c r="F92" s="122"/>
      <c r="G92" s="64"/>
      <c r="H92" s="93"/>
      <c r="I92" s="64"/>
      <c r="J92" s="64"/>
      <c r="K92" s="68"/>
      <c r="L92" s="112"/>
      <c r="M92" s="64"/>
      <c r="N92" s="64"/>
      <c r="O92" s="64"/>
      <c r="P92" s="68"/>
      <c r="S92" s="94"/>
    </row>
    <row r="93" spans="1:19" s="58" customFormat="1" ht="15.6" customHeight="1" x14ac:dyDescent="0.25">
      <c r="A93" s="71">
        <v>74</v>
      </c>
      <c r="B93" s="91" t="s">
        <v>108</v>
      </c>
      <c r="C93" s="146" t="s">
        <v>571</v>
      </c>
      <c r="D93" s="236" t="s">
        <v>553</v>
      </c>
      <c r="E93" s="385">
        <v>1</v>
      </c>
      <c r="F93" s="122"/>
      <c r="G93" s="64"/>
      <c r="H93" s="93"/>
      <c r="I93" s="64"/>
      <c r="J93" s="64"/>
      <c r="K93" s="68"/>
      <c r="L93" s="112"/>
      <c r="M93" s="64"/>
      <c r="N93" s="64"/>
      <c r="O93" s="64"/>
      <c r="P93" s="68"/>
      <c r="S93" s="94"/>
    </row>
    <row r="94" spans="1:19" s="58" customFormat="1" ht="15.6" customHeight="1" x14ac:dyDescent="0.25">
      <c r="A94" s="71">
        <v>75</v>
      </c>
      <c r="B94" s="91" t="s">
        <v>108</v>
      </c>
      <c r="C94" s="146" t="s">
        <v>572</v>
      </c>
      <c r="D94" s="236" t="s">
        <v>553</v>
      </c>
      <c r="E94" s="385">
        <v>1</v>
      </c>
      <c r="F94" s="122"/>
      <c r="G94" s="64"/>
      <c r="H94" s="93"/>
      <c r="I94" s="64"/>
      <c r="J94" s="64"/>
      <c r="K94" s="68"/>
      <c r="L94" s="112"/>
      <c r="M94" s="64"/>
      <c r="N94" s="64"/>
      <c r="O94" s="64"/>
      <c r="P94" s="68"/>
      <c r="S94" s="94"/>
    </row>
    <row r="95" spans="1:19" s="58" customFormat="1" ht="15.6" customHeight="1" x14ac:dyDescent="0.25">
      <c r="A95" s="71">
        <v>76</v>
      </c>
      <c r="B95" s="91" t="s">
        <v>108</v>
      </c>
      <c r="C95" s="146" t="s">
        <v>527</v>
      </c>
      <c r="D95" s="236" t="s">
        <v>553</v>
      </c>
      <c r="E95" s="385">
        <v>1</v>
      </c>
      <c r="F95" s="122"/>
      <c r="G95" s="64"/>
      <c r="H95" s="93"/>
      <c r="I95" s="64"/>
      <c r="J95" s="64"/>
      <c r="K95" s="68"/>
      <c r="L95" s="112"/>
      <c r="M95" s="64"/>
      <c r="N95" s="64"/>
      <c r="O95" s="64"/>
      <c r="P95" s="68"/>
      <c r="S95" s="94"/>
    </row>
    <row r="96" spans="1:19" ht="17.850000000000001" customHeight="1" x14ac:dyDescent="0.25">
      <c r="A96" s="171"/>
      <c r="B96" s="172"/>
      <c r="C96" s="146"/>
      <c r="D96" s="236"/>
      <c r="E96" s="238"/>
      <c r="F96" s="171"/>
      <c r="G96" s="172"/>
      <c r="H96" s="172"/>
      <c r="I96" s="172"/>
      <c r="J96" s="172"/>
      <c r="K96" s="174"/>
      <c r="L96" s="175"/>
      <c r="M96" s="172"/>
      <c r="N96" s="172"/>
      <c r="O96" s="172"/>
      <c r="P96" s="174"/>
    </row>
    <row r="97" spans="1:16" ht="15.75" customHeight="1" x14ac:dyDescent="0.25">
      <c r="A97" s="176"/>
      <c r="B97" s="177"/>
      <c r="C97" s="458" t="s">
        <v>136</v>
      </c>
      <c r="D97" s="458"/>
      <c r="E97" s="458"/>
      <c r="F97" s="458"/>
      <c r="G97" s="458"/>
      <c r="H97" s="458"/>
      <c r="I97" s="458"/>
      <c r="J97" s="458"/>
      <c r="K97" s="458"/>
      <c r="L97" s="178">
        <f>SUM(L21:L95)</f>
        <v>0</v>
      </c>
      <c r="M97" s="179">
        <f>SUM(M21:M95)</f>
        <v>0</v>
      </c>
      <c r="N97" s="179">
        <f>SUM(N21:N95)</f>
        <v>0</v>
      </c>
      <c r="O97" s="179">
        <f>SUM(O21:O95)</f>
        <v>0</v>
      </c>
      <c r="P97" s="180">
        <f>SUM(P21:P95)</f>
        <v>0</v>
      </c>
    </row>
    <row r="98" spans="1:16" ht="7.9" customHeight="1" x14ac:dyDescent="0.25"/>
    <row r="99" spans="1:16" x14ac:dyDescent="0.25">
      <c r="B99" s="149" t="s">
        <v>26</v>
      </c>
      <c r="C99" s="181">
        <f>KOPTAME!C58</f>
        <v>0</v>
      </c>
      <c r="E99" s="152">
        <f>'KOPS 1'!F42</f>
        <v>0</v>
      </c>
    </row>
    <row r="100" spans="1:16" x14ac:dyDescent="0.25">
      <c r="C100" s="153" t="s">
        <v>86</v>
      </c>
      <c r="E100" s="153"/>
    </row>
    <row r="101" spans="1:16" ht="8.4499999999999993" customHeight="1" x14ac:dyDescent="0.25">
      <c r="E101" s="153"/>
    </row>
    <row r="102" spans="1:16" x14ac:dyDescent="0.25">
      <c r="B102" s="150"/>
      <c r="C102" s="182"/>
      <c r="D102" s="153"/>
      <c r="E102" s="153"/>
      <c r="F102" s="155"/>
    </row>
    <row r="103" spans="1:16" ht="6.6" customHeight="1" x14ac:dyDescent="0.25">
      <c r="E103" s="153"/>
    </row>
    <row r="104" spans="1:16" x14ac:dyDescent="0.25">
      <c r="B104" s="149" t="s">
        <v>28</v>
      </c>
      <c r="C104" s="181">
        <f>KOPTAME!C63</f>
        <v>0</v>
      </c>
      <c r="E104" s="152">
        <f>E99</f>
        <v>0</v>
      </c>
    </row>
    <row r="105" spans="1:16" x14ac:dyDescent="0.25">
      <c r="C105" s="153" t="s">
        <v>86</v>
      </c>
      <c r="E105" s="153"/>
    </row>
    <row r="106" spans="1:16" ht="7.9" customHeight="1" x14ac:dyDescent="0.25">
      <c r="E106" s="153"/>
    </row>
    <row r="107" spans="1:16" x14ac:dyDescent="0.25">
      <c r="C107" s="149">
        <f>KOPTAME!C68</f>
        <v>0</v>
      </c>
    </row>
    <row r="108" spans="1:16" ht="8.4499999999999993" customHeight="1" x14ac:dyDescent="0.25"/>
    <row r="109" spans="1:16" x14ac:dyDescent="0.25">
      <c r="C109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97:K97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5" firstPageNumber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AMJ49"/>
  <sheetViews>
    <sheetView view="pageBreakPreview" topLeftCell="A8" zoomScaleNormal="100" workbookViewId="0">
      <selection activeCell="H44" sqref="H44:I44"/>
    </sheetView>
  </sheetViews>
  <sheetFormatPr defaultColWidth="9.140625" defaultRowHeight="15" x14ac:dyDescent="0.25"/>
  <cols>
    <col min="1" max="1" width="5.140625" style="1" customWidth="1"/>
    <col min="2" max="2" width="7.140625" style="1" customWidth="1"/>
    <col min="3" max="3" width="9.7109375" style="1" customWidth="1"/>
    <col min="4" max="4" width="34.85546875" style="1" customWidth="1"/>
    <col min="5" max="5" width="10.140625" style="1" customWidth="1"/>
    <col min="6" max="9" width="10.85546875" style="1" customWidth="1"/>
    <col min="10" max="10" width="10.140625" style="1" customWidth="1"/>
    <col min="11" max="1016" width="9.140625" style="1"/>
  </cols>
  <sheetData>
    <row r="1" spans="1:10" x14ac:dyDescent="0.25">
      <c r="H1" s="413" t="s">
        <v>29</v>
      </c>
      <c r="I1" s="413"/>
      <c r="J1" s="413"/>
    </row>
    <row r="3" spans="1:10" x14ac:dyDescent="0.25">
      <c r="D3" s="414" t="s">
        <v>650</v>
      </c>
      <c r="E3" s="414"/>
      <c r="F3" s="414"/>
      <c r="G3" s="414"/>
      <c r="H3" s="414"/>
      <c r="I3" s="414"/>
      <c r="J3" s="414"/>
    </row>
    <row r="4" spans="1:10" x14ac:dyDescent="0.25">
      <c r="D4" s="415" t="str">
        <f>KOPTAME!C33</f>
        <v>VALGUNDES PAGASTA PĀRVALDES ĒKAS DARBI, KAS NAV SAISTĪTI AR ENERGOEFEKTIVITĀTI</v>
      </c>
      <c r="E4" s="415"/>
      <c r="F4" s="415"/>
      <c r="G4" s="415"/>
      <c r="H4" s="415"/>
      <c r="I4" s="415"/>
      <c r="J4" s="415"/>
    </row>
    <row r="5" spans="1:10" x14ac:dyDescent="0.25">
      <c r="D5" s="416" t="s">
        <v>31</v>
      </c>
      <c r="E5" s="416"/>
      <c r="F5" s="416"/>
      <c r="G5" s="416"/>
      <c r="H5" s="416"/>
      <c r="I5" s="416"/>
      <c r="J5" s="416"/>
    </row>
    <row r="7" spans="1:10" x14ac:dyDescent="0.25">
      <c r="C7" s="5" t="s">
        <v>10</v>
      </c>
      <c r="D7" s="413" t="str">
        <f>KOPTAME!C15</f>
        <v>VALGUNDES PAGASTA PĀRVALDES ĒKAS ENERGOEFEKTIVITĀTES PAAGUSTINĀŠANA</v>
      </c>
      <c r="E7" s="413"/>
      <c r="F7" s="413"/>
      <c r="G7" s="413"/>
      <c r="H7" s="413"/>
      <c r="I7" s="413"/>
      <c r="J7" s="413"/>
    </row>
    <row r="8" spans="1:10" x14ac:dyDescent="0.25">
      <c r="C8" s="5" t="s">
        <v>12</v>
      </c>
      <c r="D8" s="413" t="str">
        <f>KOPTAME!C16</f>
        <v>VALGUNDES PAGASTA PĀRVALDES ĒKA</v>
      </c>
      <c r="E8" s="413"/>
      <c r="F8" s="413"/>
      <c r="G8" s="413"/>
      <c r="H8" s="413"/>
      <c r="I8" s="413"/>
      <c r="J8" s="413"/>
    </row>
    <row r="9" spans="1:10" x14ac:dyDescent="0.25">
      <c r="C9" s="5" t="s">
        <v>14</v>
      </c>
      <c r="D9" s="413" t="str">
        <f>KOPTAME!C17</f>
        <v>CELTNIEKU IELA 35, VALGUNDE, JELGAVAS NOVADS</v>
      </c>
      <c r="E9" s="413"/>
      <c r="F9" s="413"/>
      <c r="G9" s="413"/>
      <c r="H9" s="413"/>
      <c r="I9" s="413"/>
      <c r="J9" s="413"/>
    </row>
    <row r="10" spans="1:10" x14ac:dyDescent="0.25">
      <c r="C10" s="5" t="s">
        <v>16</v>
      </c>
      <c r="D10" s="413" t="str">
        <f>KOPTAME!C18</f>
        <v>JELGAVAS NOVADA PAŠVALDĪBA</v>
      </c>
      <c r="E10" s="413"/>
      <c r="F10" s="413"/>
      <c r="G10" s="413"/>
      <c r="H10" s="413"/>
      <c r="I10" s="413"/>
      <c r="J10" s="413"/>
    </row>
    <row r="11" spans="1:10" x14ac:dyDescent="0.25">
      <c r="C11" s="5" t="s">
        <v>18</v>
      </c>
      <c r="D11" s="413" t="str">
        <f>KOPTAME!C19</f>
        <v>23-019/3   (KPJ/2023/31-5)</v>
      </c>
      <c r="E11" s="413"/>
      <c r="F11" s="413"/>
      <c r="G11" s="413"/>
      <c r="H11" s="413"/>
      <c r="I11" s="413"/>
      <c r="J11" s="413"/>
    </row>
    <row r="12" spans="1:10" x14ac:dyDescent="0.25">
      <c r="C12" s="5" t="s">
        <v>19</v>
      </c>
      <c r="D12" s="413">
        <f>KOPTAME!C20</f>
        <v>0</v>
      </c>
      <c r="E12" s="413"/>
      <c r="F12" s="413"/>
      <c r="G12" s="413"/>
      <c r="H12" s="413"/>
      <c r="I12" s="413"/>
      <c r="J12" s="413"/>
    </row>
    <row r="13" spans="1:10" x14ac:dyDescent="0.25">
      <c r="A13" s="5"/>
      <c r="B13" s="5"/>
      <c r="C13" s="5"/>
      <c r="D13" s="2"/>
      <c r="E13" s="2"/>
      <c r="F13" s="2"/>
      <c r="G13" s="2"/>
      <c r="H13" s="2"/>
      <c r="I13" s="2"/>
      <c r="J13" s="2"/>
    </row>
    <row r="14" spans="1:10" x14ac:dyDescent="0.25">
      <c r="A14" s="5"/>
      <c r="B14" s="5"/>
      <c r="C14" s="5"/>
      <c r="D14" s="5" t="s">
        <v>32</v>
      </c>
      <c r="E14" s="35">
        <f>F38</f>
        <v>0</v>
      </c>
      <c r="F14" s="2"/>
      <c r="G14" s="2"/>
      <c r="H14" s="2"/>
      <c r="I14" s="2"/>
      <c r="J14" s="2"/>
    </row>
    <row r="15" spans="1:10" x14ac:dyDescent="0.25">
      <c r="D15" s="5" t="s">
        <v>33</v>
      </c>
      <c r="E15" s="274">
        <f>J34</f>
        <v>0</v>
      </c>
    </row>
    <row r="16" spans="1:10" ht="15.75" thickBot="1" x14ac:dyDescent="0.3"/>
    <row r="17" spans="1:1024" ht="13.15" customHeight="1" thickBot="1" x14ac:dyDescent="0.3">
      <c r="A17" s="412" t="s">
        <v>34</v>
      </c>
      <c r="B17" s="404" t="s">
        <v>35</v>
      </c>
      <c r="C17" s="404" t="s">
        <v>36</v>
      </c>
      <c r="D17" s="405" t="s">
        <v>37</v>
      </c>
      <c r="E17" s="405"/>
      <c r="F17" s="406" t="s">
        <v>38</v>
      </c>
      <c r="G17" s="411" t="s">
        <v>39</v>
      </c>
      <c r="H17" s="411"/>
      <c r="I17" s="411"/>
      <c r="J17" s="406" t="s">
        <v>40</v>
      </c>
    </row>
    <row r="18" spans="1:1024" s="1" customFormat="1" ht="26.25" thickBot="1" x14ac:dyDescent="0.3">
      <c r="A18" s="412"/>
      <c r="B18" s="404"/>
      <c r="C18" s="404"/>
      <c r="D18" s="404"/>
      <c r="E18" s="405"/>
      <c r="F18" s="406"/>
      <c r="G18" s="275" t="s">
        <v>41</v>
      </c>
      <c r="H18" s="276" t="s">
        <v>42</v>
      </c>
      <c r="I18" s="277" t="s">
        <v>43</v>
      </c>
      <c r="J18" s="406"/>
    </row>
    <row r="19" spans="1:1024" ht="17.25" customHeight="1" thickBot="1" x14ac:dyDescent="0.3">
      <c r="A19" s="408" t="s">
        <v>629</v>
      </c>
      <c r="B19" s="409"/>
      <c r="C19" s="409"/>
      <c r="D19" s="409"/>
      <c r="E19" s="409"/>
      <c r="F19" s="409"/>
      <c r="G19" s="409"/>
      <c r="H19" s="409"/>
      <c r="I19" s="409"/>
      <c r="J19" s="410"/>
      <c r="AMC19" s="1"/>
      <c r="AMD19" s="1"/>
      <c r="AME19" s="1"/>
      <c r="AMF19" s="1"/>
      <c r="AMG19" s="1"/>
      <c r="AMH19" s="1"/>
      <c r="AMI19" s="1"/>
      <c r="AMJ19" s="1"/>
    </row>
    <row r="20" spans="1:1024" s="1" customFormat="1" ht="12.75" x14ac:dyDescent="0.25">
      <c r="A20" s="23"/>
      <c r="B20" s="36"/>
      <c r="C20" s="36"/>
      <c r="D20" s="407" t="s">
        <v>44</v>
      </c>
      <c r="E20" s="407"/>
      <c r="F20" s="278"/>
      <c r="G20" s="279"/>
      <c r="H20" s="37"/>
      <c r="I20" s="280"/>
      <c r="J20" s="278"/>
    </row>
    <row r="21" spans="1:1024" s="1" customFormat="1" ht="12.75" x14ac:dyDescent="0.25">
      <c r="A21" s="15">
        <v>13</v>
      </c>
      <c r="B21" s="38" t="s">
        <v>651</v>
      </c>
      <c r="C21" s="38" t="s">
        <v>653</v>
      </c>
      <c r="D21" s="400" t="s">
        <v>52</v>
      </c>
      <c r="E21" s="400"/>
      <c r="F21" s="240"/>
      <c r="G21" s="39"/>
      <c r="H21" s="40"/>
      <c r="I21" s="281"/>
      <c r="J21" s="240"/>
    </row>
    <row r="22" spans="1:1024" s="1" customFormat="1" ht="16.350000000000001" customHeight="1" x14ac:dyDescent="0.25">
      <c r="A22" s="15">
        <v>14</v>
      </c>
      <c r="B22" s="38" t="s">
        <v>652</v>
      </c>
      <c r="C22" s="38" t="s">
        <v>654</v>
      </c>
      <c r="D22" s="403" t="s">
        <v>61</v>
      </c>
      <c r="E22" s="403"/>
      <c r="F22" s="240"/>
      <c r="G22" s="39"/>
      <c r="H22" s="39"/>
      <c r="I22" s="39"/>
      <c r="J22" s="240"/>
    </row>
    <row r="23" spans="1:1024" s="1" customFormat="1" ht="12.75" x14ac:dyDescent="0.25">
      <c r="A23" s="15"/>
      <c r="B23" s="38"/>
      <c r="C23" s="38"/>
      <c r="D23" s="401" t="s">
        <v>63</v>
      </c>
      <c r="E23" s="401"/>
      <c r="F23" s="240"/>
      <c r="G23" s="39"/>
      <c r="H23" s="40"/>
      <c r="I23" s="281"/>
      <c r="J23" s="240"/>
    </row>
    <row r="24" spans="1:1024" s="1" customFormat="1" ht="12.75" x14ac:dyDescent="0.25">
      <c r="A24" s="15">
        <v>15</v>
      </c>
      <c r="B24" s="38" t="s">
        <v>655</v>
      </c>
      <c r="C24" s="38" t="s">
        <v>663</v>
      </c>
      <c r="D24" s="402" t="s">
        <v>64</v>
      </c>
      <c r="E24" s="402"/>
      <c r="F24" s="240"/>
      <c r="G24" s="39"/>
      <c r="H24" s="39"/>
      <c r="I24" s="39"/>
      <c r="J24" s="240"/>
    </row>
    <row r="25" spans="1:1024" s="1" customFormat="1" ht="12.75" x14ac:dyDescent="0.25">
      <c r="A25" s="15">
        <v>16</v>
      </c>
      <c r="B25" s="38" t="s">
        <v>656</v>
      </c>
      <c r="C25" s="18" t="s">
        <v>664</v>
      </c>
      <c r="D25" s="400" t="s">
        <v>71</v>
      </c>
      <c r="E25" s="400"/>
      <c r="F25" s="282"/>
      <c r="G25" s="283"/>
      <c r="H25" s="283"/>
      <c r="I25" s="283"/>
      <c r="J25" s="282"/>
    </row>
    <row r="26" spans="1:1024" s="1" customFormat="1" ht="12.75" x14ac:dyDescent="0.25">
      <c r="A26" s="15">
        <v>17</v>
      </c>
      <c r="B26" s="38" t="s">
        <v>657</v>
      </c>
      <c r="C26" s="18" t="s">
        <v>665</v>
      </c>
      <c r="D26" s="400" t="s">
        <v>72</v>
      </c>
      <c r="E26" s="400"/>
      <c r="F26" s="282"/>
      <c r="G26" s="283"/>
      <c r="H26" s="283"/>
      <c r="I26" s="283"/>
      <c r="J26" s="282"/>
    </row>
    <row r="27" spans="1:1024" s="1" customFormat="1" ht="12.75" x14ac:dyDescent="0.25">
      <c r="A27" s="15">
        <v>18</v>
      </c>
      <c r="B27" s="38" t="s">
        <v>658</v>
      </c>
      <c r="C27" s="18" t="s">
        <v>666</v>
      </c>
      <c r="D27" s="400" t="s">
        <v>73</v>
      </c>
      <c r="E27" s="400"/>
      <c r="F27" s="282"/>
      <c r="G27" s="283"/>
      <c r="H27" s="283"/>
      <c r="I27" s="283"/>
      <c r="J27" s="282"/>
    </row>
    <row r="28" spans="1:1024" s="1" customFormat="1" ht="12.75" x14ac:dyDescent="0.25">
      <c r="A28" s="15">
        <v>19</v>
      </c>
      <c r="B28" s="38" t="s">
        <v>659</v>
      </c>
      <c r="C28" s="18" t="s">
        <v>667</v>
      </c>
      <c r="D28" s="400" t="s">
        <v>74</v>
      </c>
      <c r="E28" s="400"/>
      <c r="F28" s="282"/>
      <c r="G28" s="283"/>
      <c r="H28" s="283"/>
      <c r="I28" s="283"/>
      <c r="J28" s="282"/>
    </row>
    <row r="29" spans="1:1024" s="1" customFormat="1" ht="12.75" x14ac:dyDescent="0.25">
      <c r="A29" s="15">
        <v>20</v>
      </c>
      <c r="B29" s="38" t="s">
        <v>660</v>
      </c>
      <c r="C29" s="18" t="s">
        <v>668</v>
      </c>
      <c r="D29" s="400" t="s">
        <v>75</v>
      </c>
      <c r="E29" s="400"/>
      <c r="F29" s="282"/>
      <c r="G29" s="283"/>
      <c r="H29" s="283"/>
      <c r="I29" s="283"/>
      <c r="J29" s="282"/>
    </row>
    <row r="30" spans="1:1024" s="1" customFormat="1" ht="12.75" x14ac:dyDescent="0.25">
      <c r="A30" s="15">
        <v>21</v>
      </c>
      <c r="B30" s="38" t="s">
        <v>661</v>
      </c>
      <c r="C30" s="18" t="s">
        <v>669</v>
      </c>
      <c r="D30" s="400" t="s">
        <v>76</v>
      </c>
      <c r="E30" s="400"/>
      <c r="F30" s="282"/>
      <c r="G30" s="283"/>
      <c r="H30" s="283"/>
      <c r="I30" s="283"/>
      <c r="J30" s="282"/>
    </row>
    <row r="31" spans="1:1024" s="1" customFormat="1" ht="12.75" x14ac:dyDescent="0.25">
      <c r="A31" s="15"/>
      <c r="B31" s="38"/>
      <c r="C31" s="38" t="s">
        <v>670</v>
      </c>
      <c r="D31" s="401" t="s">
        <v>79</v>
      </c>
      <c r="E31" s="401"/>
      <c r="F31" s="240"/>
      <c r="G31" s="39"/>
      <c r="H31" s="40"/>
      <c r="I31" s="281"/>
      <c r="J31" s="240"/>
    </row>
    <row r="32" spans="1:1024" s="1" customFormat="1" ht="12.75" x14ac:dyDescent="0.25">
      <c r="A32" s="15">
        <v>22</v>
      </c>
      <c r="B32" s="38" t="s">
        <v>662</v>
      </c>
      <c r="C32" s="38" t="s">
        <v>671</v>
      </c>
      <c r="D32" s="400" t="s">
        <v>80</v>
      </c>
      <c r="E32" s="400"/>
      <c r="F32" s="240"/>
      <c r="G32" s="39"/>
      <c r="H32" s="39"/>
      <c r="I32" s="39"/>
      <c r="J32" s="240"/>
    </row>
    <row r="33" spans="1:10" s="1" customFormat="1" ht="13.5" thickBot="1" x14ac:dyDescent="0.3">
      <c r="A33" s="17"/>
      <c r="B33" s="18"/>
      <c r="C33" s="18"/>
      <c r="D33" s="400"/>
      <c r="E33" s="400"/>
      <c r="F33" s="284"/>
      <c r="G33" s="283"/>
      <c r="H33" s="283"/>
      <c r="I33" s="283"/>
      <c r="J33" s="282"/>
    </row>
    <row r="34" spans="1:10" s="1" customFormat="1" ht="13.5" thickBot="1" x14ac:dyDescent="0.3">
      <c r="A34" s="9"/>
      <c r="B34" s="10"/>
      <c r="C34" s="285"/>
      <c r="D34" s="399" t="s">
        <v>81</v>
      </c>
      <c r="E34" s="399"/>
      <c r="F34" s="286">
        <f>SUM(F21:F32)</f>
        <v>0</v>
      </c>
      <c r="G34" s="286">
        <f>SUM(G21:G32)</f>
        <v>0</v>
      </c>
      <c r="H34" s="286">
        <f>SUM(H21:H32)</f>
        <v>0</v>
      </c>
      <c r="I34" s="286">
        <f>SUM(I21:I32)</f>
        <v>0</v>
      </c>
      <c r="J34" s="286">
        <f>SUM(J21:J32)</f>
        <v>0</v>
      </c>
    </row>
    <row r="35" spans="1:10" s="1" customFormat="1" ht="12.75" x14ac:dyDescent="0.25">
      <c r="A35" s="12"/>
      <c r="B35" s="13"/>
      <c r="C35" s="13"/>
      <c r="D35" s="287" t="s">
        <v>82</v>
      </c>
      <c r="E35" s="288"/>
      <c r="F35" s="289">
        <f>ROUND(F34*E35,2)</f>
        <v>0</v>
      </c>
    </row>
    <row r="36" spans="1:10" s="1" customFormat="1" ht="12.75" x14ac:dyDescent="0.25">
      <c r="A36" s="15"/>
      <c r="B36" s="38"/>
      <c r="C36" s="38"/>
      <c r="D36" s="290" t="s">
        <v>83</v>
      </c>
      <c r="E36" s="291"/>
      <c r="F36" s="292">
        <f>ROUND(F35*E36,2)</f>
        <v>0</v>
      </c>
    </row>
    <row r="37" spans="1:10" s="1" customFormat="1" ht="13.5" thickBot="1" x14ac:dyDescent="0.3">
      <c r="A37" s="17"/>
      <c r="B37" s="18"/>
      <c r="C37" s="18"/>
      <c r="D37" s="293" t="s">
        <v>84</v>
      </c>
      <c r="E37" s="294"/>
      <c r="F37" s="284">
        <f>ROUND(F34*E37,2)</f>
        <v>0</v>
      </c>
    </row>
    <row r="38" spans="1:10" s="1" customFormat="1" ht="13.5" thickBot="1" x14ac:dyDescent="0.3">
      <c r="A38" s="9"/>
      <c r="B38" s="10"/>
      <c r="C38" s="10"/>
      <c r="D38" s="399" t="s">
        <v>85</v>
      </c>
      <c r="E38" s="399"/>
      <c r="F38" s="295">
        <f>F37+F35+F34</f>
        <v>0</v>
      </c>
    </row>
    <row r="39" spans="1:10" s="1" customFormat="1" ht="12.75" x14ac:dyDescent="0.25">
      <c r="A39" s="2"/>
      <c r="B39" s="2"/>
      <c r="C39" s="2"/>
      <c r="E39" s="2"/>
      <c r="F39" s="2"/>
    </row>
    <row r="40" spans="1:10" s="1" customFormat="1" ht="12.75" x14ac:dyDescent="0.25">
      <c r="A40" s="2"/>
      <c r="B40" s="2"/>
      <c r="C40" s="2"/>
      <c r="E40" s="2"/>
      <c r="F40" s="2"/>
    </row>
    <row r="41" spans="1:10" s="1" customFormat="1" ht="12.75" x14ac:dyDescent="0.25">
      <c r="B41" s="2" t="s">
        <v>26</v>
      </c>
      <c r="C41" s="2"/>
      <c r="D41" s="6">
        <f>KOPTAME!C58</f>
        <v>0</v>
      </c>
      <c r="F41" s="34">
        <f>KOPTAME!D58</f>
        <v>0</v>
      </c>
    </row>
    <row r="42" spans="1:10" s="1" customFormat="1" ht="12.75" x14ac:dyDescent="0.25">
      <c r="D42" s="1" t="s">
        <v>86</v>
      </c>
      <c r="F42" s="2"/>
    </row>
    <row r="43" spans="1:10" s="1" customFormat="1" ht="12.75" x14ac:dyDescent="0.25">
      <c r="F43" s="2"/>
    </row>
    <row r="44" spans="1:10" s="1" customFormat="1" ht="12.75" x14ac:dyDescent="0.25">
      <c r="D44" s="33">
        <f>KOPTAME!C70</f>
        <v>0</v>
      </c>
      <c r="F44" s="2"/>
    </row>
    <row r="45" spans="1:10" s="1" customFormat="1" ht="12.75" x14ac:dyDescent="0.25">
      <c r="F45" s="2"/>
    </row>
    <row r="46" spans="1:10" s="1" customFormat="1" ht="12.75" x14ac:dyDescent="0.25">
      <c r="B46" s="2" t="s">
        <v>28</v>
      </c>
      <c r="C46" s="2"/>
      <c r="D46" s="6">
        <f>KOPTAME!C63</f>
        <v>0</v>
      </c>
      <c r="F46" s="34">
        <f>F41</f>
        <v>0</v>
      </c>
    </row>
    <row r="47" spans="1:10" s="1" customFormat="1" ht="12.75" x14ac:dyDescent="0.25">
      <c r="D47" s="1" t="s">
        <v>86</v>
      </c>
    </row>
    <row r="49" spans="4:4" s="1" customFormat="1" ht="12.75" x14ac:dyDescent="0.25">
      <c r="D49" s="31">
        <f>KOPTAME!C70</f>
        <v>0</v>
      </c>
    </row>
  </sheetData>
  <mergeCells count="34">
    <mergeCell ref="D33:E33"/>
    <mergeCell ref="D34:E34"/>
    <mergeCell ref="D38:E38"/>
    <mergeCell ref="A19:J19"/>
    <mergeCell ref="D28:E28"/>
    <mergeCell ref="D29:E29"/>
    <mergeCell ref="D30:E30"/>
    <mergeCell ref="D31:E31"/>
    <mergeCell ref="D32:E32"/>
    <mergeCell ref="D25:E25"/>
    <mergeCell ref="D26:E26"/>
    <mergeCell ref="D27:E27"/>
    <mergeCell ref="D22:E22"/>
    <mergeCell ref="D23:E23"/>
    <mergeCell ref="D24:E24"/>
    <mergeCell ref="D21:E21"/>
    <mergeCell ref="J17:J18"/>
    <mergeCell ref="D20:E20"/>
    <mergeCell ref="D9:J9"/>
    <mergeCell ref="D10:J10"/>
    <mergeCell ref="D11:J11"/>
    <mergeCell ref="D12:J12"/>
    <mergeCell ref="G17:I17"/>
    <mergeCell ref="A17:A18"/>
    <mergeCell ref="B17:B18"/>
    <mergeCell ref="C17:C18"/>
    <mergeCell ref="D17:E18"/>
    <mergeCell ref="F17:F18"/>
    <mergeCell ref="D8:J8"/>
    <mergeCell ref="H1:J1"/>
    <mergeCell ref="D3:J3"/>
    <mergeCell ref="D4:J4"/>
    <mergeCell ref="D5:J5"/>
    <mergeCell ref="D7:J7"/>
  </mergeCells>
  <pageMargins left="0.25" right="0.25" top="0.75" bottom="0.75" header="0.51180555555555496" footer="0.51180555555555496"/>
  <pageSetup paperSize="9" scale="66" firstPageNumber="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AMJ89"/>
  <sheetViews>
    <sheetView view="pageBreakPreview" zoomScale="95" zoomScaleNormal="100" zoomScalePageLayoutView="95" workbookViewId="0">
      <selection activeCell="I70" sqref="I70"/>
    </sheetView>
  </sheetViews>
  <sheetFormatPr defaultColWidth="9.140625" defaultRowHeight="15" x14ac:dyDescent="0.25"/>
  <cols>
    <col min="1" max="2" width="9.140625" style="1"/>
    <col min="3" max="3" width="37.28515625" style="1" customWidth="1"/>
    <col min="4" max="5" width="9.140625" style="1"/>
    <col min="6" max="11" width="7.42578125" style="1" customWidth="1"/>
    <col min="12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x14ac:dyDescent="0.25">
      <c r="E3" s="426" t="s">
        <v>88</v>
      </c>
      <c r="F3" s="426"/>
      <c r="G3" s="426"/>
      <c r="H3" s="426"/>
      <c r="I3" s="41" t="s">
        <v>651</v>
      </c>
    </row>
    <row r="4" spans="1:16" x14ac:dyDescent="0.25">
      <c r="D4" s="415" t="s">
        <v>52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>
        <f>P77</f>
        <v>0</v>
      </c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8" spans="1:19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9" ht="70.5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9" x14ac:dyDescent="0.25">
      <c r="A20" s="17">
        <v>1</v>
      </c>
      <c r="B20" s="18">
        <v>2</v>
      </c>
      <c r="C20" s="18">
        <v>3</v>
      </c>
      <c r="D20" s="18">
        <v>4</v>
      </c>
      <c r="E20" s="47">
        <v>5</v>
      </c>
      <c r="F20" s="17">
        <v>6</v>
      </c>
      <c r="G20" s="18">
        <v>7</v>
      </c>
      <c r="H20" s="18">
        <v>8</v>
      </c>
      <c r="I20" s="18">
        <v>9</v>
      </c>
      <c r="J20" s="18">
        <v>10</v>
      </c>
      <c r="K20" s="19">
        <v>11</v>
      </c>
      <c r="L20" s="48">
        <v>12</v>
      </c>
      <c r="M20" s="18">
        <v>13</v>
      </c>
      <c r="N20" s="18">
        <v>14</v>
      </c>
      <c r="O20" s="18">
        <v>15</v>
      </c>
      <c r="P20" s="19">
        <v>16</v>
      </c>
    </row>
    <row r="21" spans="1:19" ht="18.95" customHeight="1" x14ac:dyDescent="0.25">
      <c r="A21" s="23"/>
      <c r="B21" s="36"/>
      <c r="C21" s="342" t="s">
        <v>196</v>
      </c>
      <c r="D21" s="343" t="s">
        <v>124</v>
      </c>
      <c r="E21" s="386">
        <f>((0.15*4+0.6*4+0.15*4+0.6*4+0.15*2+2.05+1.92)*1.8+(0.15*6+2.05*3+0.15*6+2.05*3)*1.8+2.5*0.9)*0+48</f>
        <v>48</v>
      </c>
      <c r="F21" s="23"/>
      <c r="G21" s="36"/>
      <c r="H21" s="36"/>
      <c r="I21" s="36"/>
      <c r="J21" s="36"/>
      <c r="K21" s="109"/>
      <c r="L21" s="110"/>
      <c r="M21" s="36"/>
      <c r="N21" s="36"/>
      <c r="O21" s="36"/>
      <c r="P21" s="109"/>
    </row>
    <row r="22" spans="1:19" s="253" customFormat="1" ht="28.5" customHeight="1" x14ac:dyDescent="0.25">
      <c r="A22" s="251">
        <v>1</v>
      </c>
      <c r="B22" s="252" t="s">
        <v>108</v>
      </c>
      <c r="C22" s="329" t="s">
        <v>197</v>
      </c>
      <c r="D22" s="330" t="s">
        <v>124</v>
      </c>
      <c r="E22" s="331">
        <f>E21</f>
        <v>48</v>
      </c>
      <c r="F22" s="265"/>
      <c r="G22" s="266"/>
      <c r="H22" s="267"/>
      <c r="I22" s="266"/>
      <c r="J22" s="266"/>
      <c r="K22" s="268"/>
      <c r="L22" s="269"/>
      <c r="M22" s="266"/>
      <c r="N22" s="266"/>
      <c r="O22" s="266"/>
      <c r="P22" s="270"/>
      <c r="S22" s="271"/>
    </row>
    <row r="23" spans="1:19" s="253" customFormat="1" ht="18.95" customHeight="1" x14ac:dyDescent="0.25">
      <c r="A23" s="251">
        <v>2</v>
      </c>
      <c r="B23" s="252"/>
      <c r="C23" s="341" t="s">
        <v>198</v>
      </c>
      <c r="D23" s="330" t="s">
        <v>171</v>
      </c>
      <c r="E23" s="331">
        <f>E22*0.25*1.1</f>
        <v>13.200000000000001</v>
      </c>
      <c r="F23" s="265"/>
      <c r="G23" s="266"/>
      <c r="H23" s="267"/>
      <c r="I23" s="266"/>
      <c r="J23" s="266"/>
      <c r="K23" s="268"/>
      <c r="L23" s="269"/>
      <c r="M23" s="266"/>
      <c r="N23" s="266"/>
      <c r="O23" s="266"/>
      <c r="P23" s="270"/>
      <c r="S23" s="271"/>
    </row>
    <row r="24" spans="1:19" s="253" customFormat="1" ht="18.95" customHeight="1" x14ac:dyDescent="0.25">
      <c r="A24" s="251">
        <v>3</v>
      </c>
      <c r="B24" s="252"/>
      <c r="C24" s="341" t="s">
        <v>199</v>
      </c>
      <c r="D24" s="330" t="s">
        <v>180</v>
      </c>
      <c r="E24" s="331">
        <f>E22*75*1.15*0.3</f>
        <v>1242</v>
      </c>
      <c r="F24" s="265"/>
      <c r="G24" s="266"/>
      <c r="H24" s="267"/>
      <c r="I24" s="266"/>
      <c r="J24" s="266"/>
      <c r="K24" s="268"/>
      <c r="L24" s="269"/>
      <c r="M24" s="266"/>
      <c r="N24" s="266"/>
      <c r="O24" s="266"/>
      <c r="P24" s="270"/>
      <c r="S24" s="271"/>
    </row>
    <row r="25" spans="1:19" s="253" customFormat="1" ht="18.95" customHeight="1" x14ac:dyDescent="0.25">
      <c r="A25" s="251">
        <v>4</v>
      </c>
      <c r="B25" s="252"/>
      <c r="C25" s="341" t="s">
        <v>200</v>
      </c>
      <c r="D25" s="330" t="s">
        <v>110</v>
      </c>
      <c r="E25" s="331">
        <f>E21*1.5</f>
        <v>72</v>
      </c>
      <c r="F25" s="265"/>
      <c r="G25" s="266"/>
      <c r="H25" s="267"/>
      <c r="I25" s="272"/>
      <c r="J25" s="272"/>
      <c r="K25" s="268"/>
      <c r="L25" s="269"/>
      <c r="M25" s="266"/>
      <c r="N25" s="266"/>
      <c r="O25" s="266"/>
      <c r="P25" s="270"/>
      <c r="S25" s="271"/>
    </row>
    <row r="26" spans="1:19" s="253" customFormat="1" ht="31.35" customHeight="1" x14ac:dyDescent="0.25">
      <c r="A26" s="251">
        <v>5</v>
      </c>
      <c r="B26" s="252" t="s">
        <v>108</v>
      </c>
      <c r="C26" s="329" t="s">
        <v>201</v>
      </c>
      <c r="D26" s="330" t="s">
        <v>112</v>
      </c>
      <c r="E26" s="331">
        <v>1</v>
      </c>
      <c r="F26" s="265"/>
      <c r="G26" s="266"/>
      <c r="H26" s="267"/>
      <c r="I26" s="272"/>
      <c r="J26" s="272"/>
      <c r="K26" s="268"/>
      <c r="L26" s="269"/>
      <c r="M26" s="266"/>
      <c r="N26" s="266"/>
      <c r="O26" s="266"/>
      <c r="P26" s="270"/>
      <c r="S26" s="271"/>
    </row>
    <row r="27" spans="1:19" s="253" customFormat="1" ht="26.25" customHeight="1" x14ac:dyDescent="0.25">
      <c r="A27" s="251">
        <v>6</v>
      </c>
      <c r="B27" s="252" t="s">
        <v>108</v>
      </c>
      <c r="C27" s="329" t="s">
        <v>202</v>
      </c>
      <c r="D27" s="330" t="s">
        <v>124</v>
      </c>
      <c r="E27" s="331">
        <f>E22*2</f>
        <v>96</v>
      </c>
      <c r="F27" s="265"/>
      <c r="G27" s="266"/>
      <c r="H27" s="267"/>
      <c r="I27" s="272"/>
      <c r="J27" s="272"/>
      <c r="K27" s="268"/>
      <c r="L27" s="269"/>
      <c r="M27" s="266"/>
      <c r="N27" s="266"/>
      <c r="O27" s="266"/>
      <c r="P27" s="270"/>
      <c r="S27" s="271"/>
    </row>
    <row r="28" spans="1:19" s="253" customFormat="1" ht="18.95" customHeight="1" x14ac:dyDescent="0.25">
      <c r="A28" s="251">
        <v>7</v>
      </c>
      <c r="B28" s="252"/>
      <c r="C28" s="341" t="s">
        <v>179</v>
      </c>
      <c r="D28" s="330" t="s">
        <v>180</v>
      </c>
      <c r="E28" s="331">
        <f>E27*15*1.15</f>
        <v>1655.9999999999998</v>
      </c>
      <c r="F28" s="265"/>
      <c r="G28" s="266"/>
      <c r="H28" s="267"/>
      <c r="I28" s="272"/>
      <c r="J28" s="272"/>
      <c r="K28" s="268"/>
      <c r="L28" s="269"/>
      <c r="M28" s="266"/>
      <c r="N28" s="266"/>
      <c r="O28" s="266"/>
      <c r="P28" s="270"/>
      <c r="S28" s="271"/>
    </row>
    <row r="29" spans="1:19" s="253" customFormat="1" ht="18.95" customHeight="1" x14ac:dyDescent="0.25">
      <c r="A29" s="251">
        <v>8</v>
      </c>
      <c r="B29" s="252"/>
      <c r="C29" s="341" t="s">
        <v>194</v>
      </c>
      <c r="D29" s="330" t="s">
        <v>112</v>
      </c>
      <c r="E29" s="331">
        <v>1</v>
      </c>
      <c r="F29" s="265"/>
      <c r="G29" s="266"/>
      <c r="H29" s="267"/>
      <c r="I29" s="272"/>
      <c r="J29" s="272"/>
      <c r="K29" s="268"/>
      <c r="L29" s="269"/>
      <c r="M29" s="266"/>
      <c r="N29" s="266"/>
      <c r="O29" s="266"/>
      <c r="P29" s="270"/>
      <c r="S29" s="271"/>
    </row>
    <row r="30" spans="1:19" s="253" customFormat="1" ht="18.95" customHeight="1" x14ac:dyDescent="0.25">
      <c r="A30" s="246"/>
      <c r="B30" s="273"/>
      <c r="C30" s="387" t="s">
        <v>203</v>
      </c>
      <c r="D30" s="336" t="s">
        <v>124</v>
      </c>
      <c r="E30" s="337">
        <f>3.59*3</f>
        <v>10.77</v>
      </c>
      <c r="F30" s="111"/>
      <c r="G30" s="64"/>
      <c r="H30" s="65"/>
      <c r="I30" s="64"/>
      <c r="J30" s="64"/>
      <c r="K30" s="68"/>
      <c r="L30" s="112"/>
      <c r="M30" s="64"/>
      <c r="N30" s="64"/>
      <c r="O30" s="64"/>
      <c r="P30" s="68"/>
      <c r="S30" s="271"/>
    </row>
    <row r="31" spans="1:19" s="253" customFormat="1" ht="18.95" customHeight="1" x14ac:dyDescent="0.25">
      <c r="A31" s="241">
        <v>1</v>
      </c>
      <c r="B31" s="113" t="s">
        <v>108</v>
      </c>
      <c r="C31" s="363" t="s">
        <v>204</v>
      </c>
      <c r="D31" s="364" t="s">
        <v>124</v>
      </c>
      <c r="E31" s="371">
        <f>ROUND(E30,2)</f>
        <v>10.77</v>
      </c>
      <c r="F31" s="111"/>
      <c r="G31" s="64"/>
      <c r="H31" s="65"/>
      <c r="I31" s="64"/>
      <c r="J31" s="64"/>
      <c r="K31" s="68"/>
      <c r="L31" s="112"/>
      <c r="M31" s="64"/>
      <c r="N31" s="64"/>
      <c r="O31" s="64"/>
      <c r="P31" s="68"/>
      <c r="S31" s="271"/>
    </row>
    <row r="32" spans="1:19" s="253" customFormat="1" ht="18.95" customHeight="1" x14ac:dyDescent="0.25">
      <c r="A32" s="241">
        <v>2</v>
      </c>
      <c r="B32" s="113"/>
      <c r="C32" s="366" t="s">
        <v>205</v>
      </c>
      <c r="D32" s="364" t="s">
        <v>110</v>
      </c>
      <c r="E32" s="371">
        <f>ROUND(E31/0.4,2)</f>
        <v>26.93</v>
      </c>
      <c r="F32" s="111"/>
      <c r="G32" s="64"/>
      <c r="H32" s="65"/>
      <c r="I32" s="64"/>
      <c r="J32" s="64"/>
      <c r="K32" s="68"/>
      <c r="L32" s="112"/>
      <c r="M32" s="64"/>
      <c r="N32" s="64"/>
      <c r="O32" s="64"/>
      <c r="P32" s="68"/>
      <c r="S32" s="271"/>
    </row>
    <row r="33" spans="1:19" s="253" customFormat="1" ht="18.95" customHeight="1" x14ac:dyDescent="0.25">
      <c r="A33" s="241">
        <v>3</v>
      </c>
      <c r="B33" s="113"/>
      <c r="C33" s="366" t="s">
        <v>206</v>
      </c>
      <c r="D33" s="364" t="s">
        <v>110</v>
      </c>
      <c r="E33" s="371">
        <f>ROUND(E31*2,2)</f>
        <v>21.54</v>
      </c>
      <c r="F33" s="111"/>
      <c r="G33" s="64"/>
      <c r="H33" s="65"/>
      <c r="I33" s="64"/>
      <c r="J33" s="64"/>
      <c r="K33" s="68"/>
      <c r="L33" s="112"/>
      <c r="M33" s="64"/>
      <c r="N33" s="64"/>
      <c r="O33" s="64"/>
      <c r="P33" s="68"/>
      <c r="S33" s="271"/>
    </row>
    <row r="34" spans="1:19" s="253" customFormat="1" ht="18.95" customHeight="1" x14ac:dyDescent="0.25">
      <c r="A34" s="241">
        <v>4</v>
      </c>
      <c r="B34" s="113"/>
      <c r="C34" s="366" t="s">
        <v>207</v>
      </c>
      <c r="D34" s="364" t="s">
        <v>110</v>
      </c>
      <c r="E34" s="371">
        <f>E33</f>
        <v>21.54</v>
      </c>
      <c r="F34" s="111"/>
      <c r="G34" s="64"/>
      <c r="H34" s="65"/>
      <c r="I34" s="64"/>
      <c r="J34" s="64"/>
      <c r="K34" s="68"/>
      <c r="L34" s="112"/>
      <c r="M34" s="64"/>
      <c r="N34" s="64"/>
      <c r="O34" s="64"/>
      <c r="P34" s="68"/>
      <c r="S34" s="271"/>
    </row>
    <row r="35" spans="1:19" s="253" customFormat="1" ht="18.95" customHeight="1" x14ac:dyDescent="0.25">
      <c r="A35" s="241">
        <v>5</v>
      </c>
      <c r="B35" s="113"/>
      <c r="C35" s="366" t="s">
        <v>208</v>
      </c>
      <c r="D35" s="364" t="s">
        <v>114</v>
      </c>
      <c r="E35" s="371">
        <f>ROUND(E33/0.15,0)</f>
        <v>144</v>
      </c>
      <c r="F35" s="111"/>
      <c r="G35" s="64"/>
      <c r="H35" s="65"/>
      <c r="I35" s="64"/>
      <c r="J35" s="64"/>
      <c r="K35" s="68"/>
      <c r="L35" s="112"/>
      <c r="M35" s="64"/>
      <c r="N35" s="64"/>
      <c r="O35" s="64"/>
      <c r="P35" s="68"/>
      <c r="S35" s="271"/>
    </row>
    <row r="36" spans="1:19" s="253" customFormat="1" ht="18.95" customHeight="1" x14ac:dyDescent="0.25">
      <c r="A36" s="241">
        <v>6</v>
      </c>
      <c r="B36" s="113"/>
      <c r="C36" s="366" t="s">
        <v>209</v>
      </c>
      <c r="D36" s="364" t="s">
        <v>114</v>
      </c>
      <c r="E36" s="371">
        <f>ROUND(E30*12,0)</f>
        <v>129</v>
      </c>
      <c r="F36" s="111"/>
      <c r="G36" s="64"/>
      <c r="H36" s="65"/>
      <c r="I36" s="64"/>
      <c r="J36" s="64"/>
      <c r="K36" s="68"/>
      <c r="L36" s="112"/>
      <c r="M36" s="64"/>
      <c r="N36" s="64"/>
      <c r="O36" s="64"/>
      <c r="P36" s="68"/>
      <c r="S36" s="271"/>
    </row>
    <row r="37" spans="1:19" s="253" customFormat="1" ht="18.95" customHeight="1" x14ac:dyDescent="0.25">
      <c r="A37" s="241">
        <v>7</v>
      </c>
      <c r="B37" s="113"/>
      <c r="C37" s="366" t="s">
        <v>210</v>
      </c>
      <c r="D37" s="364" t="s">
        <v>124</v>
      </c>
      <c r="E37" s="371">
        <f>ROUND(E31*1.02,2)</f>
        <v>10.99</v>
      </c>
      <c r="F37" s="111"/>
      <c r="G37" s="64"/>
      <c r="H37" s="65"/>
      <c r="I37" s="64"/>
      <c r="J37" s="64"/>
      <c r="K37" s="68"/>
      <c r="L37" s="112"/>
      <c r="M37" s="64"/>
      <c r="N37" s="64"/>
      <c r="O37" s="64"/>
      <c r="P37" s="68"/>
      <c r="S37" s="271"/>
    </row>
    <row r="38" spans="1:19" s="253" customFormat="1" ht="25.5" customHeight="1" x14ac:dyDescent="0.25">
      <c r="A38" s="241">
        <v>8</v>
      </c>
      <c r="B38" s="113"/>
      <c r="C38" s="366" t="s">
        <v>211</v>
      </c>
      <c r="D38" s="364" t="s">
        <v>124</v>
      </c>
      <c r="E38" s="371">
        <f>ROUND(E31*1*2.2,2)</f>
        <v>23.69</v>
      </c>
      <c r="F38" s="111"/>
      <c r="G38" s="64"/>
      <c r="H38" s="65"/>
      <c r="I38" s="64"/>
      <c r="J38" s="64"/>
      <c r="K38" s="68"/>
      <c r="L38" s="112"/>
      <c r="M38" s="64"/>
      <c r="N38" s="64"/>
      <c r="O38" s="64"/>
      <c r="P38" s="68"/>
      <c r="S38" s="271"/>
    </row>
    <row r="39" spans="1:19" s="253" customFormat="1" ht="18.95" customHeight="1" x14ac:dyDescent="0.25">
      <c r="A39" s="241">
        <v>9</v>
      </c>
      <c r="B39" s="113"/>
      <c r="C39" s="366" t="s">
        <v>212</v>
      </c>
      <c r="D39" s="364" t="s">
        <v>114</v>
      </c>
      <c r="E39" s="388">
        <f>ROUND(E30*2*20,0)</f>
        <v>431</v>
      </c>
      <c r="F39" s="111"/>
      <c r="G39" s="64"/>
      <c r="H39" s="65"/>
      <c r="I39" s="64"/>
      <c r="J39" s="64"/>
      <c r="K39" s="68"/>
      <c r="L39" s="112"/>
      <c r="M39" s="64"/>
      <c r="N39" s="64"/>
      <c r="O39" s="64"/>
      <c r="P39" s="68"/>
      <c r="S39" s="271"/>
    </row>
    <row r="40" spans="1:19" s="253" customFormat="1" ht="18.95" customHeight="1" x14ac:dyDescent="0.25">
      <c r="A40" s="241">
        <v>10</v>
      </c>
      <c r="B40" s="113"/>
      <c r="C40" s="366" t="s">
        <v>818</v>
      </c>
      <c r="D40" s="364" t="s">
        <v>180</v>
      </c>
      <c r="E40" s="371">
        <f>ROUND(E41*0.25,2)</f>
        <v>6.46</v>
      </c>
      <c r="F40" s="111"/>
      <c r="G40" s="64"/>
      <c r="H40" s="65"/>
      <c r="I40" s="64"/>
      <c r="J40" s="64"/>
      <c r="K40" s="68"/>
      <c r="L40" s="112"/>
      <c r="M40" s="64"/>
      <c r="N40" s="64"/>
      <c r="O40" s="64"/>
      <c r="P40" s="68"/>
      <c r="S40" s="271"/>
    </row>
    <row r="41" spans="1:19" s="253" customFormat="1" ht="18.95" customHeight="1" x14ac:dyDescent="0.25">
      <c r="A41" s="241">
        <v>11</v>
      </c>
      <c r="B41" s="113"/>
      <c r="C41" s="366" t="s">
        <v>213</v>
      </c>
      <c r="D41" s="364" t="s">
        <v>110</v>
      </c>
      <c r="E41" s="371">
        <f>ROUND(E30*1.2*2,2)</f>
        <v>25.85</v>
      </c>
      <c r="F41" s="111"/>
      <c r="G41" s="64"/>
      <c r="H41" s="65"/>
      <c r="I41" s="64"/>
      <c r="J41" s="64"/>
      <c r="K41" s="68"/>
      <c r="L41" s="112"/>
      <c r="M41" s="64"/>
      <c r="N41" s="64"/>
      <c r="O41" s="64"/>
      <c r="P41" s="68"/>
      <c r="S41" s="271"/>
    </row>
    <row r="42" spans="1:19" s="253" customFormat="1" ht="18.95" customHeight="1" x14ac:dyDescent="0.25">
      <c r="A42" s="241">
        <v>12</v>
      </c>
      <c r="B42" s="113"/>
      <c r="C42" s="366" t="s">
        <v>817</v>
      </c>
      <c r="D42" s="364" t="s">
        <v>180</v>
      </c>
      <c r="E42" s="371">
        <f>ROUND(E30*1.5*1.05*2,2)</f>
        <v>33.93</v>
      </c>
      <c r="F42" s="111"/>
      <c r="G42" s="64"/>
      <c r="H42" s="65"/>
      <c r="I42" s="64"/>
      <c r="J42" s="64"/>
      <c r="K42" s="68"/>
      <c r="L42" s="112"/>
      <c r="M42" s="64"/>
      <c r="N42" s="64"/>
      <c r="O42" s="64"/>
      <c r="P42" s="68"/>
      <c r="S42" s="271"/>
    </row>
    <row r="43" spans="1:19" s="253" customFormat="1" ht="18.95" customHeight="1" x14ac:dyDescent="0.25">
      <c r="A43" s="241">
        <v>13</v>
      </c>
      <c r="B43" s="254"/>
      <c r="C43" s="348" t="s">
        <v>194</v>
      </c>
      <c r="D43" s="333" t="s">
        <v>124</v>
      </c>
      <c r="E43" s="347">
        <f>E30</f>
        <v>10.77</v>
      </c>
      <c r="F43" s="115"/>
      <c r="G43" s="40"/>
      <c r="H43" s="40"/>
      <c r="I43" s="40"/>
      <c r="J43" s="40"/>
      <c r="K43" s="16"/>
      <c r="L43" s="39"/>
      <c r="M43" s="40"/>
      <c r="N43" s="40"/>
      <c r="O43" s="40"/>
      <c r="P43" s="16"/>
      <c r="S43" s="271"/>
    </row>
    <row r="44" spans="1:19" s="253" customFormat="1" ht="18.95" customHeight="1" x14ac:dyDescent="0.25">
      <c r="A44" s="246"/>
      <c r="B44" s="273"/>
      <c r="C44" s="387" t="s">
        <v>214</v>
      </c>
      <c r="D44" s="336" t="s">
        <v>124</v>
      </c>
      <c r="E44" s="337">
        <f>(0.8*2+2.78+3.585+1.77+1.83+1)*3+(4.38+4.1+1+3.14)*3</f>
        <v>75.555000000000007</v>
      </c>
      <c r="F44" s="111"/>
      <c r="G44" s="64"/>
      <c r="H44" s="65"/>
      <c r="I44" s="64"/>
      <c r="J44" s="64"/>
      <c r="K44" s="68"/>
      <c r="L44" s="112"/>
      <c r="M44" s="64"/>
      <c r="N44" s="64"/>
      <c r="O44" s="64"/>
      <c r="P44" s="68"/>
      <c r="S44" s="271"/>
    </row>
    <row r="45" spans="1:19" s="253" customFormat="1" ht="18.95" customHeight="1" x14ac:dyDescent="0.25">
      <c r="A45" s="241">
        <v>1</v>
      </c>
      <c r="B45" s="113" t="s">
        <v>108</v>
      </c>
      <c r="C45" s="363" t="s">
        <v>215</v>
      </c>
      <c r="D45" s="364" t="s">
        <v>124</v>
      </c>
      <c r="E45" s="371">
        <f>ROUND(E44,2)</f>
        <v>75.56</v>
      </c>
      <c r="F45" s="111"/>
      <c r="G45" s="64"/>
      <c r="H45" s="65"/>
      <c r="I45" s="64"/>
      <c r="J45" s="64"/>
      <c r="K45" s="68"/>
      <c r="L45" s="112"/>
      <c r="M45" s="64"/>
      <c r="N45" s="64"/>
      <c r="O45" s="64"/>
      <c r="P45" s="68"/>
      <c r="S45" s="271"/>
    </row>
    <row r="46" spans="1:19" s="253" customFormat="1" ht="18.95" customHeight="1" x14ac:dyDescent="0.25">
      <c r="A46" s="241">
        <v>2</v>
      </c>
      <c r="B46" s="113"/>
      <c r="C46" s="366" t="s">
        <v>205</v>
      </c>
      <c r="D46" s="364" t="s">
        <v>110</v>
      </c>
      <c r="E46" s="371">
        <f>ROUND(E45/0.4,2)</f>
        <v>188.9</v>
      </c>
      <c r="F46" s="111"/>
      <c r="G46" s="64"/>
      <c r="H46" s="65"/>
      <c r="I46" s="64"/>
      <c r="J46" s="64"/>
      <c r="K46" s="68"/>
      <c r="L46" s="112"/>
      <c r="M46" s="64"/>
      <c r="N46" s="64"/>
      <c r="O46" s="64"/>
      <c r="P46" s="68"/>
      <c r="S46" s="271"/>
    </row>
    <row r="47" spans="1:19" s="253" customFormat="1" ht="18.95" customHeight="1" x14ac:dyDescent="0.25">
      <c r="A47" s="241">
        <v>3</v>
      </c>
      <c r="B47" s="113"/>
      <c r="C47" s="366" t="s">
        <v>206</v>
      </c>
      <c r="D47" s="364" t="s">
        <v>110</v>
      </c>
      <c r="E47" s="371">
        <f>ROUND(E45*2,2)</f>
        <v>151.12</v>
      </c>
      <c r="F47" s="111"/>
      <c r="G47" s="64"/>
      <c r="H47" s="65"/>
      <c r="I47" s="64"/>
      <c r="J47" s="64"/>
      <c r="K47" s="68"/>
      <c r="L47" s="112"/>
      <c r="M47" s="64"/>
      <c r="N47" s="64"/>
      <c r="O47" s="64"/>
      <c r="P47" s="68"/>
      <c r="S47" s="271"/>
    </row>
    <row r="48" spans="1:19" s="253" customFormat="1" ht="18.95" customHeight="1" x14ac:dyDescent="0.25">
      <c r="A48" s="241">
        <v>4</v>
      </c>
      <c r="B48" s="113"/>
      <c r="C48" s="366" t="s">
        <v>216</v>
      </c>
      <c r="D48" s="364" t="s">
        <v>112</v>
      </c>
      <c r="E48" s="371">
        <v>3</v>
      </c>
      <c r="F48" s="111"/>
      <c r="G48" s="64"/>
      <c r="H48" s="65"/>
      <c r="I48" s="64"/>
      <c r="J48" s="64"/>
      <c r="K48" s="68"/>
      <c r="L48" s="112"/>
      <c r="M48" s="64"/>
      <c r="N48" s="64"/>
      <c r="O48" s="64"/>
      <c r="P48" s="68"/>
      <c r="S48" s="271"/>
    </row>
    <row r="49" spans="1:19" s="253" customFormat="1" ht="18.95" customHeight="1" x14ac:dyDescent="0.25">
      <c r="A49" s="241">
        <v>5</v>
      </c>
      <c r="B49" s="113"/>
      <c r="C49" s="366" t="s">
        <v>207</v>
      </c>
      <c r="D49" s="364" t="s">
        <v>110</v>
      </c>
      <c r="E49" s="371">
        <f>E47</f>
        <v>151.12</v>
      </c>
      <c r="F49" s="111"/>
      <c r="G49" s="64"/>
      <c r="H49" s="65"/>
      <c r="I49" s="64"/>
      <c r="J49" s="64"/>
      <c r="K49" s="68"/>
      <c r="L49" s="112"/>
      <c r="M49" s="64"/>
      <c r="N49" s="64"/>
      <c r="O49" s="64"/>
      <c r="P49" s="68"/>
      <c r="S49" s="271"/>
    </row>
    <row r="50" spans="1:19" s="253" customFormat="1" ht="18.95" customHeight="1" x14ac:dyDescent="0.25">
      <c r="A50" s="241">
        <v>6</v>
      </c>
      <c r="B50" s="113"/>
      <c r="C50" s="366" t="s">
        <v>208</v>
      </c>
      <c r="D50" s="364" t="s">
        <v>114</v>
      </c>
      <c r="E50" s="371">
        <f>ROUND(E47/0.15,0)</f>
        <v>1007</v>
      </c>
      <c r="F50" s="111"/>
      <c r="G50" s="64"/>
      <c r="H50" s="65"/>
      <c r="I50" s="64"/>
      <c r="J50" s="64"/>
      <c r="K50" s="68"/>
      <c r="L50" s="112"/>
      <c r="M50" s="64"/>
      <c r="N50" s="64"/>
      <c r="O50" s="64"/>
      <c r="P50" s="68"/>
      <c r="S50" s="271"/>
    </row>
    <row r="51" spans="1:19" s="253" customFormat="1" ht="18.95" customHeight="1" x14ac:dyDescent="0.25">
      <c r="A51" s="241">
        <v>7</v>
      </c>
      <c r="B51" s="113"/>
      <c r="C51" s="366" t="s">
        <v>209</v>
      </c>
      <c r="D51" s="364" t="s">
        <v>114</v>
      </c>
      <c r="E51" s="371">
        <f>ROUND(E44*12,0)</f>
        <v>907</v>
      </c>
      <c r="F51" s="111"/>
      <c r="G51" s="64"/>
      <c r="H51" s="65"/>
      <c r="I51" s="64"/>
      <c r="J51" s="64"/>
      <c r="K51" s="68"/>
      <c r="L51" s="112"/>
      <c r="M51" s="64"/>
      <c r="N51" s="64"/>
      <c r="O51" s="64"/>
      <c r="P51" s="68"/>
      <c r="S51" s="271"/>
    </row>
    <row r="52" spans="1:19" s="253" customFormat="1" ht="18.95" customHeight="1" x14ac:dyDescent="0.25">
      <c r="A52" s="241">
        <v>8</v>
      </c>
      <c r="B52" s="113"/>
      <c r="C52" s="366" t="s">
        <v>210</v>
      </c>
      <c r="D52" s="364" t="s">
        <v>124</v>
      </c>
      <c r="E52" s="371">
        <f>ROUND(E45*1.02,2)</f>
        <v>77.069999999999993</v>
      </c>
      <c r="F52" s="111"/>
      <c r="G52" s="64"/>
      <c r="H52" s="65"/>
      <c r="I52" s="64"/>
      <c r="J52" s="64"/>
      <c r="K52" s="68"/>
      <c r="L52" s="112"/>
      <c r="M52" s="64"/>
      <c r="N52" s="64"/>
      <c r="O52" s="64"/>
      <c r="P52" s="68"/>
      <c r="S52" s="271"/>
    </row>
    <row r="53" spans="1:19" s="253" customFormat="1" ht="28.5" customHeight="1" x14ac:dyDescent="0.25">
      <c r="A53" s="241">
        <v>9</v>
      </c>
      <c r="B53" s="113"/>
      <c r="C53" s="366" t="s">
        <v>211</v>
      </c>
      <c r="D53" s="364" t="s">
        <v>124</v>
      </c>
      <c r="E53" s="371">
        <f>ROUND(E45*1*2.2,2)</f>
        <v>166.23</v>
      </c>
      <c r="F53" s="111"/>
      <c r="G53" s="64"/>
      <c r="H53" s="65"/>
      <c r="I53" s="64"/>
      <c r="J53" s="64"/>
      <c r="K53" s="68"/>
      <c r="L53" s="112"/>
      <c r="M53" s="64"/>
      <c r="N53" s="64"/>
      <c r="O53" s="64"/>
      <c r="P53" s="68"/>
      <c r="S53" s="271"/>
    </row>
    <row r="54" spans="1:19" s="253" customFormat="1" ht="18.95" customHeight="1" x14ac:dyDescent="0.25">
      <c r="A54" s="241">
        <v>10</v>
      </c>
      <c r="B54" s="113"/>
      <c r="C54" s="366" t="s">
        <v>212</v>
      </c>
      <c r="D54" s="364" t="s">
        <v>114</v>
      </c>
      <c r="E54" s="388">
        <f>ROUND(E44*2*20,0)</f>
        <v>3022</v>
      </c>
      <c r="F54" s="111"/>
      <c r="G54" s="64"/>
      <c r="H54" s="65"/>
      <c r="I54" s="64"/>
      <c r="J54" s="64"/>
      <c r="K54" s="68"/>
      <c r="L54" s="112"/>
      <c r="M54" s="64"/>
      <c r="N54" s="64"/>
      <c r="O54" s="64"/>
      <c r="P54" s="68"/>
      <c r="S54" s="271"/>
    </row>
    <row r="55" spans="1:19" s="253" customFormat="1" ht="18.95" customHeight="1" x14ac:dyDescent="0.25">
      <c r="A55" s="241">
        <v>11</v>
      </c>
      <c r="B55" s="113"/>
      <c r="C55" s="366" t="s">
        <v>818</v>
      </c>
      <c r="D55" s="364" t="s">
        <v>180</v>
      </c>
      <c r="E55" s="371">
        <f>ROUND(E56*0.25,2)</f>
        <v>45.33</v>
      </c>
      <c r="F55" s="111"/>
      <c r="G55" s="64"/>
      <c r="H55" s="65"/>
      <c r="I55" s="64"/>
      <c r="J55" s="64"/>
      <c r="K55" s="68"/>
      <c r="L55" s="112"/>
      <c r="M55" s="64"/>
      <c r="N55" s="64"/>
      <c r="O55" s="64"/>
      <c r="P55" s="68"/>
      <c r="S55" s="271"/>
    </row>
    <row r="56" spans="1:19" s="253" customFormat="1" ht="18.95" customHeight="1" x14ac:dyDescent="0.25">
      <c r="A56" s="241">
        <v>12</v>
      </c>
      <c r="B56" s="113"/>
      <c r="C56" s="366" t="s">
        <v>213</v>
      </c>
      <c r="D56" s="364" t="s">
        <v>110</v>
      </c>
      <c r="E56" s="371">
        <f>ROUND(E44*1.2*2,2)</f>
        <v>181.33</v>
      </c>
      <c r="F56" s="111"/>
      <c r="G56" s="64"/>
      <c r="H56" s="65"/>
      <c r="I56" s="64"/>
      <c r="J56" s="64"/>
      <c r="K56" s="68"/>
      <c r="L56" s="112"/>
      <c r="M56" s="64"/>
      <c r="N56" s="64"/>
      <c r="O56" s="64"/>
      <c r="P56" s="68"/>
      <c r="S56" s="271"/>
    </row>
    <row r="57" spans="1:19" s="253" customFormat="1" ht="18.95" customHeight="1" x14ac:dyDescent="0.25">
      <c r="A57" s="241">
        <v>13</v>
      </c>
      <c r="B57" s="113"/>
      <c r="C57" s="366" t="s">
        <v>817</v>
      </c>
      <c r="D57" s="364" t="s">
        <v>180</v>
      </c>
      <c r="E57" s="371">
        <f>ROUND(E44*1.5*1.05*2,2)</f>
        <v>238</v>
      </c>
      <c r="F57" s="111"/>
      <c r="G57" s="64"/>
      <c r="H57" s="65"/>
      <c r="I57" s="64"/>
      <c r="J57" s="64"/>
      <c r="K57" s="68"/>
      <c r="L57" s="112"/>
      <c r="M57" s="64"/>
      <c r="N57" s="64"/>
      <c r="O57" s="64"/>
      <c r="P57" s="68"/>
      <c r="S57" s="271"/>
    </row>
    <row r="58" spans="1:19" s="253" customFormat="1" ht="18.95" customHeight="1" x14ac:dyDescent="0.25">
      <c r="A58" s="241">
        <v>14</v>
      </c>
      <c r="B58" s="254"/>
      <c r="C58" s="348" t="s">
        <v>194</v>
      </c>
      <c r="D58" s="333" t="s">
        <v>124</v>
      </c>
      <c r="E58" s="347">
        <f>E44</f>
        <v>75.555000000000007</v>
      </c>
      <c r="F58" s="115"/>
      <c r="G58" s="40"/>
      <c r="H58" s="40"/>
      <c r="I58" s="40"/>
      <c r="J58" s="40"/>
      <c r="K58" s="16"/>
      <c r="L58" s="39"/>
      <c r="M58" s="40"/>
      <c r="N58" s="40"/>
      <c r="O58" s="40"/>
      <c r="P58" s="16"/>
      <c r="S58" s="271"/>
    </row>
    <row r="59" spans="1:19" ht="19.7" customHeight="1" x14ac:dyDescent="0.25">
      <c r="A59" s="116"/>
      <c r="B59" s="117"/>
      <c r="C59" s="335" t="s">
        <v>217</v>
      </c>
      <c r="D59" s="336"/>
      <c r="E59" s="337"/>
      <c r="F59" s="116"/>
      <c r="G59" s="117"/>
      <c r="H59" s="117"/>
      <c r="I59" s="117"/>
      <c r="J59" s="117"/>
      <c r="K59" s="118"/>
      <c r="L59" s="119"/>
      <c r="M59" s="117"/>
      <c r="N59" s="117"/>
      <c r="O59" s="117"/>
      <c r="P59" s="118"/>
    </row>
    <row r="60" spans="1:19" s="253" customFormat="1" ht="38.450000000000003" customHeight="1" x14ac:dyDescent="0.25">
      <c r="A60" s="251">
        <v>1</v>
      </c>
      <c r="B60" s="252" t="s">
        <v>108</v>
      </c>
      <c r="C60" s="329" t="s">
        <v>218</v>
      </c>
      <c r="D60" s="330" t="s">
        <v>124</v>
      </c>
      <c r="E60" s="331">
        <f>(3*1.5+3.6)*2</f>
        <v>16.2</v>
      </c>
      <c r="F60" s="265"/>
      <c r="G60" s="266"/>
      <c r="H60" s="267"/>
      <c r="I60" s="266"/>
      <c r="J60" s="266"/>
      <c r="K60" s="268"/>
      <c r="L60" s="269"/>
      <c r="M60" s="266"/>
      <c r="N60" s="266"/>
      <c r="O60" s="266"/>
      <c r="P60" s="270"/>
      <c r="S60" s="271"/>
    </row>
    <row r="61" spans="1:19" s="253" customFormat="1" ht="34.5" customHeight="1" x14ac:dyDescent="0.25">
      <c r="A61" s="246"/>
      <c r="B61" s="273"/>
      <c r="C61" s="335" t="s">
        <v>625</v>
      </c>
      <c r="D61" s="336" t="s">
        <v>124</v>
      </c>
      <c r="E61" s="337">
        <v>44</v>
      </c>
      <c r="F61" s="111"/>
      <c r="G61" s="64"/>
      <c r="H61" s="65"/>
      <c r="I61" s="64"/>
      <c r="J61" s="64"/>
      <c r="K61" s="68"/>
      <c r="L61" s="112"/>
      <c r="M61" s="64"/>
      <c r="N61" s="64"/>
      <c r="O61" s="64"/>
      <c r="P61" s="68"/>
      <c r="S61" s="271"/>
    </row>
    <row r="62" spans="1:19" s="253" customFormat="1" ht="17.25" customHeight="1" x14ac:dyDescent="0.25">
      <c r="A62" s="241">
        <v>1</v>
      </c>
      <c r="B62" s="113" t="s">
        <v>108</v>
      </c>
      <c r="C62" s="363" t="s">
        <v>596</v>
      </c>
      <c r="D62" s="364" t="s">
        <v>124</v>
      </c>
      <c r="E62" s="371">
        <f>ROUND(E61,2)</f>
        <v>44</v>
      </c>
      <c r="F62" s="111"/>
      <c r="G62" s="64"/>
      <c r="H62" s="65"/>
      <c r="I62" s="64"/>
      <c r="J62" s="64"/>
      <c r="K62" s="68"/>
      <c r="L62" s="112"/>
      <c r="M62" s="64"/>
      <c r="N62" s="64"/>
      <c r="O62" s="64"/>
      <c r="P62" s="68"/>
      <c r="Q62" s="58"/>
      <c r="S62" s="271"/>
    </row>
    <row r="63" spans="1:19" s="253" customFormat="1" ht="17.25" customHeight="1" x14ac:dyDescent="0.25">
      <c r="A63" s="241">
        <v>2</v>
      </c>
      <c r="B63" s="113"/>
      <c r="C63" s="366" t="s">
        <v>205</v>
      </c>
      <c r="D63" s="364" t="s">
        <v>110</v>
      </c>
      <c r="E63" s="371">
        <f>ROUND(E62/0.4,2)</f>
        <v>110</v>
      </c>
      <c r="F63" s="111"/>
      <c r="G63" s="64"/>
      <c r="H63" s="65"/>
      <c r="I63" s="64"/>
      <c r="J63" s="64"/>
      <c r="K63" s="68"/>
      <c r="L63" s="112"/>
      <c r="M63" s="64"/>
      <c r="N63" s="64"/>
      <c r="O63" s="64"/>
      <c r="P63" s="68"/>
      <c r="Q63" s="58"/>
      <c r="S63" s="271"/>
    </row>
    <row r="64" spans="1:19" s="253" customFormat="1" ht="17.25" customHeight="1" x14ac:dyDescent="0.25">
      <c r="A64" s="241">
        <v>3</v>
      </c>
      <c r="B64" s="113"/>
      <c r="C64" s="366" t="s">
        <v>206</v>
      </c>
      <c r="D64" s="364" t="s">
        <v>110</v>
      </c>
      <c r="E64" s="371">
        <f>ROUND(E62*2,2)</f>
        <v>88</v>
      </c>
      <c r="F64" s="111"/>
      <c r="G64" s="64"/>
      <c r="H64" s="65"/>
      <c r="I64" s="64"/>
      <c r="J64" s="64"/>
      <c r="K64" s="68"/>
      <c r="L64" s="112"/>
      <c r="M64" s="64"/>
      <c r="N64" s="64"/>
      <c r="O64" s="64"/>
      <c r="P64" s="68"/>
      <c r="Q64" s="58"/>
      <c r="S64" s="271"/>
    </row>
    <row r="65" spans="1:19" s="253" customFormat="1" ht="17.25" customHeight="1" x14ac:dyDescent="0.25">
      <c r="A65" s="241">
        <v>4</v>
      </c>
      <c r="B65" s="113"/>
      <c r="C65" s="366" t="s">
        <v>216</v>
      </c>
      <c r="D65" s="364" t="s">
        <v>112</v>
      </c>
      <c r="E65" s="371">
        <v>3</v>
      </c>
      <c r="F65" s="111"/>
      <c r="G65" s="64"/>
      <c r="H65" s="65"/>
      <c r="I65" s="64"/>
      <c r="J65" s="64"/>
      <c r="K65" s="68"/>
      <c r="L65" s="112"/>
      <c r="M65" s="64"/>
      <c r="N65" s="64"/>
      <c r="O65" s="64"/>
      <c r="P65" s="68"/>
      <c r="Q65" s="58"/>
      <c r="S65" s="271"/>
    </row>
    <row r="66" spans="1:19" s="253" customFormat="1" ht="17.25" customHeight="1" x14ac:dyDescent="0.25">
      <c r="A66" s="241">
        <v>5</v>
      </c>
      <c r="B66" s="113"/>
      <c r="C66" s="366" t="s">
        <v>207</v>
      </c>
      <c r="D66" s="364" t="s">
        <v>110</v>
      </c>
      <c r="E66" s="371">
        <f>E64</f>
        <v>88</v>
      </c>
      <c r="F66" s="111"/>
      <c r="G66" s="64"/>
      <c r="H66" s="65"/>
      <c r="I66" s="64"/>
      <c r="J66" s="64"/>
      <c r="K66" s="68"/>
      <c r="L66" s="112"/>
      <c r="M66" s="64"/>
      <c r="N66" s="64"/>
      <c r="O66" s="64"/>
      <c r="P66" s="68"/>
      <c r="Q66" s="58"/>
      <c r="S66" s="271"/>
    </row>
    <row r="67" spans="1:19" s="253" customFormat="1" ht="17.25" customHeight="1" x14ac:dyDescent="0.25">
      <c r="A67" s="241">
        <v>6</v>
      </c>
      <c r="B67" s="113"/>
      <c r="C67" s="366" t="s">
        <v>208</v>
      </c>
      <c r="D67" s="364" t="s">
        <v>114</v>
      </c>
      <c r="E67" s="371">
        <f>ROUND(E64/0.15,0)</f>
        <v>587</v>
      </c>
      <c r="F67" s="111"/>
      <c r="G67" s="64"/>
      <c r="H67" s="65"/>
      <c r="I67" s="64"/>
      <c r="J67" s="64"/>
      <c r="K67" s="68"/>
      <c r="L67" s="112"/>
      <c r="M67" s="64"/>
      <c r="N67" s="64"/>
      <c r="O67" s="64"/>
      <c r="P67" s="68"/>
      <c r="Q67" s="58"/>
      <c r="S67" s="271"/>
    </row>
    <row r="68" spans="1:19" s="253" customFormat="1" ht="17.25" customHeight="1" x14ac:dyDescent="0.25">
      <c r="A68" s="241">
        <v>7</v>
      </c>
      <c r="B68" s="113"/>
      <c r="C68" s="366" t="s">
        <v>209</v>
      </c>
      <c r="D68" s="364" t="s">
        <v>114</v>
      </c>
      <c r="E68" s="371">
        <f>ROUND(E61*12,0)</f>
        <v>528</v>
      </c>
      <c r="F68" s="111"/>
      <c r="G68" s="64"/>
      <c r="H68" s="65"/>
      <c r="I68" s="64"/>
      <c r="J68" s="64"/>
      <c r="K68" s="68"/>
      <c r="L68" s="112"/>
      <c r="M68" s="64"/>
      <c r="N68" s="64"/>
      <c r="O68" s="64"/>
      <c r="P68" s="68"/>
      <c r="Q68" s="58"/>
      <c r="S68" s="271"/>
    </row>
    <row r="69" spans="1:19" s="253" customFormat="1" ht="17.25" customHeight="1" x14ac:dyDescent="0.25">
      <c r="A69" s="241">
        <v>8</v>
      </c>
      <c r="B69" s="113"/>
      <c r="C69" s="366" t="s">
        <v>210</v>
      </c>
      <c r="D69" s="364" t="s">
        <v>124</v>
      </c>
      <c r="E69" s="371">
        <f>ROUND(E62*1.02,2)</f>
        <v>44.88</v>
      </c>
      <c r="F69" s="111"/>
      <c r="G69" s="64"/>
      <c r="H69" s="65"/>
      <c r="I69" s="64"/>
      <c r="J69" s="64"/>
      <c r="K69" s="68"/>
      <c r="L69" s="112"/>
      <c r="M69" s="64"/>
      <c r="N69" s="64"/>
      <c r="O69" s="64"/>
      <c r="P69" s="68"/>
      <c r="Q69" s="58"/>
      <c r="S69" s="271"/>
    </row>
    <row r="70" spans="1:19" s="253" customFormat="1" ht="34.5" customHeight="1" x14ac:dyDescent="0.25">
      <c r="A70" s="241">
        <v>9</v>
      </c>
      <c r="B70" s="113"/>
      <c r="C70" s="366" t="s">
        <v>211</v>
      </c>
      <c r="D70" s="364" t="s">
        <v>124</v>
      </c>
      <c r="E70" s="371">
        <f>ROUND(E62*1*2.2,2)</f>
        <v>96.8</v>
      </c>
      <c r="F70" s="111"/>
      <c r="G70" s="64"/>
      <c r="H70" s="65"/>
      <c r="I70" s="64"/>
      <c r="J70" s="64"/>
      <c r="K70" s="68"/>
      <c r="L70" s="112"/>
      <c r="M70" s="64"/>
      <c r="N70" s="64"/>
      <c r="O70" s="64"/>
      <c r="P70" s="68"/>
      <c r="Q70" s="58"/>
      <c r="S70" s="271"/>
    </row>
    <row r="71" spans="1:19" s="253" customFormat="1" ht="17.25" customHeight="1" x14ac:dyDescent="0.25">
      <c r="A71" s="241">
        <v>10</v>
      </c>
      <c r="B71" s="113"/>
      <c r="C71" s="366" t="s">
        <v>212</v>
      </c>
      <c r="D71" s="364" t="s">
        <v>114</v>
      </c>
      <c r="E71" s="388">
        <f>ROUND(E61*2*20,0)</f>
        <v>1760</v>
      </c>
      <c r="F71" s="111"/>
      <c r="G71" s="64"/>
      <c r="H71" s="65"/>
      <c r="I71" s="64"/>
      <c r="J71" s="64"/>
      <c r="K71" s="68"/>
      <c r="L71" s="112"/>
      <c r="M71" s="64"/>
      <c r="N71" s="64"/>
      <c r="O71" s="64"/>
      <c r="P71" s="68"/>
      <c r="Q71" s="58"/>
      <c r="S71" s="271"/>
    </row>
    <row r="72" spans="1:19" s="253" customFormat="1" ht="17.25" customHeight="1" x14ac:dyDescent="0.25">
      <c r="A72" s="241">
        <v>11</v>
      </c>
      <c r="B72" s="113"/>
      <c r="C72" s="366" t="s">
        <v>818</v>
      </c>
      <c r="D72" s="364" t="s">
        <v>180</v>
      </c>
      <c r="E72" s="371">
        <f>ROUND(E73*0.25,2)</f>
        <v>26.4</v>
      </c>
      <c r="F72" s="111"/>
      <c r="G72" s="64"/>
      <c r="H72" s="65"/>
      <c r="I72" s="64"/>
      <c r="J72" s="64"/>
      <c r="K72" s="68"/>
      <c r="L72" s="112"/>
      <c r="M72" s="64"/>
      <c r="N72" s="64"/>
      <c r="O72" s="64"/>
      <c r="P72" s="68"/>
      <c r="Q72" s="58"/>
      <c r="S72" s="271"/>
    </row>
    <row r="73" spans="1:19" s="253" customFormat="1" ht="17.25" customHeight="1" x14ac:dyDescent="0.25">
      <c r="A73" s="241">
        <v>12</v>
      </c>
      <c r="B73" s="113"/>
      <c r="C73" s="366" t="s">
        <v>213</v>
      </c>
      <c r="D73" s="364" t="s">
        <v>110</v>
      </c>
      <c r="E73" s="371">
        <f>ROUND(E61*1.2*2,2)</f>
        <v>105.6</v>
      </c>
      <c r="F73" s="111"/>
      <c r="G73" s="64"/>
      <c r="H73" s="65"/>
      <c r="I73" s="64"/>
      <c r="J73" s="64"/>
      <c r="K73" s="68"/>
      <c r="L73" s="112"/>
      <c r="M73" s="64"/>
      <c r="N73" s="64"/>
      <c r="O73" s="64"/>
      <c r="P73" s="68"/>
      <c r="Q73" s="58"/>
      <c r="S73" s="271"/>
    </row>
    <row r="74" spans="1:19" s="253" customFormat="1" ht="26.25" customHeight="1" x14ac:dyDescent="0.25">
      <c r="A74" s="241">
        <v>13</v>
      </c>
      <c r="B74" s="113"/>
      <c r="C74" s="366" t="s">
        <v>817</v>
      </c>
      <c r="D74" s="364" t="s">
        <v>180</v>
      </c>
      <c r="E74" s="371">
        <f>ROUND(E61*1.5*1.05*2,2)</f>
        <v>138.6</v>
      </c>
      <c r="F74" s="111"/>
      <c r="G74" s="64"/>
      <c r="H74" s="65"/>
      <c r="I74" s="64"/>
      <c r="J74" s="64"/>
      <c r="K74" s="68"/>
      <c r="L74" s="112"/>
      <c r="M74" s="64"/>
      <c r="N74" s="64"/>
      <c r="O74" s="64"/>
      <c r="P74" s="68"/>
      <c r="Q74" s="58"/>
      <c r="S74" s="271"/>
    </row>
    <row r="75" spans="1:19" s="253" customFormat="1" ht="17.25" customHeight="1" x14ac:dyDescent="0.25">
      <c r="A75" s="241">
        <v>14</v>
      </c>
      <c r="B75" s="254"/>
      <c r="C75" s="348" t="s">
        <v>194</v>
      </c>
      <c r="D75" s="333" t="s">
        <v>124</v>
      </c>
      <c r="E75" s="347">
        <f>E61</f>
        <v>44</v>
      </c>
      <c r="F75" s="115"/>
      <c r="G75" s="40"/>
      <c r="H75" s="40"/>
      <c r="I75" s="40"/>
      <c r="J75" s="40"/>
      <c r="K75" s="16"/>
      <c r="L75" s="39"/>
      <c r="M75" s="40"/>
      <c r="N75" s="40"/>
      <c r="O75" s="40"/>
      <c r="P75" s="16"/>
      <c r="Q75" s="58"/>
      <c r="S75" s="271"/>
    </row>
    <row r="76" spans="1:19" x14ac:dyDescent="0.25">
      <c r="A76" s="82"/>
      <c r="B76" s="83"/>
      <c r="C76" s="83"/>
      <c r="D76" s="83"/>
      <c r="E76" s="84"/>
      <c r="F76" s="26"/>
      <c r="G76" s="120"/>
      <c r="H76" s="120"/>
      <c r="I76" s="120"/>
      <c r="J76" s="120"/>
      <c r="K76" s="121"/>
      <c r="L76" s="86"/>
      <c r="M76" s="83"/>
      <c r="N76" s="83"/>
      <c r="O76" s="83"/>
      <c r="P76" s="85"/>
    </row>
    <row r="77" spans="1:19" ht="15.75" customHeight="1" x14ac:dyDescent="0.25">
      <c r="A77" s="87"/>
      <c r="B77" s="88"/>
      <c r="C77" s="419" t="s">
        <v>136</v>
      </c>
      <c r="D77" s="419"/>
      <c r="E77" s="419"/>
      <c r="F77" s="419"/>
      <c r="G77" s="419"/>
      <c r="H77" s="419"/>
      <c r="I77" s="419"/>
      <c r="J77" s="419"/>
      <c r="K77" s="419"/>
      <c r="L77" s="89">
        <f>SUM(L22:L76)</f>
        <v>0</v>
      </c>
      <c r="M77" s="90">
        <f>SUM(M22:M76)</f>
        <v>0</v>
      </c>
      <c r="N77" s="90">
        <f>SUM(N22:N76)</f>
        <v>0</v>
      </c>
      <c r="O77" s="90">
        <f>SUM(O22:O76)</f>
        <v>0</v>
      </c>
      <c r="P77" s="21">
        <f>SUM(P22:P76)</f>
        <v>0</v>
      </c>
    </row>
    <row r="79" spans="1:19" x14ac:dyDescent="0.25">
      <c r="B79" s="1" t="s">
        <v>26</v>
      </c>
      <c r="C79" s="6">
        <f>KOPTAME!C58</f>
        <v>0</v>
      </c>
      <c r="E79" s="34">
        <f>'KOPS 1'!F42</f>
        <v>0</v>
      </c>
    </row>
    <row r="80" spans="1:19" x14ac:dyDescent="0.25">
      <c r="C80" s="2" t="s">
        <v>86</v>
      </c>
      <c r="E80" s="2"/>
    </row>
    <row r="81" spans="2:6" x14ac:dyDescent="0.25">
      <c r="E81" s="2"/>
    </row>
    <row r="82" spans="2:6" x14ac:dyDescent="0.25">
      <c r="B82" s="5"/>
      <c r="C82" s="33"/>
      <c r="D82" s="2"/>
      <c r="E82" s="2"/>
      <c r="F82" s="42"/>
    </row>
    <row r="83" spans="2:6" x14ac:dyDescent="0.25">
      <c r="E83" s="2"/>
    </row>
    <row r="84" spans="2:6" x14ac:dyDescent="0.25">
      <c r="B84" s="1" t="s">
        <v>28</v>
      </c>
      <c r="C84" s="6">
        <f>KOPTAME!C63</f>
        <v>0</v>
      </c>
      <c r="E84" s="34">
        <f>E79</f>
        <v>0</v>
      </c>
    </row>
    <row r="85" spans="2:6" x14ac:dyDescent="0.25">
      <c r="C85" s="2" t="s">
        <v>86</v>
      </c>
    </row>
    <row r="87" spans="2:6" x14ac:dyDescent="0.25">
      <c r="C87" s="1">
        <f>KOPTAME!C68</f>
        <v>0</v>
      </c>
    </row>
    <row r="89" spans="2:6" x14ac:dyDescent="0.25">
      <c r="C89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77:K77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66" firstPageNumber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A1:AMJ60"/>
  <sheetViews>
    <sheetView view="pageBreakPreview" topLeftCell="A31" zoomScaleNormal="100" workbookViewId="0">
      <selection activeCell="H36" sqref="H36"/>
    </sheetView>
  </sheetViews>
  <sheetFormatPr defaultColWidth="9.140625" defaultRowHeight="15" x14ac:dyDescent="0.25"/>
  <cols>
    <col min="1" max="2" width="9.140625" style="1"/>
    <col min="3" max="3" width="33.7109375" style="1" customWidth="1"/>
    <col min="4" max="11" width="7.85546875" style="1" customWidth="1"/>
    <col min="12" max="12" width="7.42578125" style="1" customWidth="1"/>
    <col min="13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x14ac:dyDescent="0.25">
      <c r="E3" s="426" t="s">
        <v>88</v>
      </c>
      <c r="F3" s="426"/>
      <c r="G3" s="426"/>
      <c r="H3" s="426"/>
      <c r="I3" s="41" t="s">
        <v>652</v>
      </c>
    </row>
    <row r="4" spans="1:16" x14ac:dyDescent="0.25">
      <c r="D4" s="415" t="s">
        <v>61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>
        <f>P47</f>
        <v>0</v>
      </c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8" spans="1:19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9" ht="67.900000000000006" customHeight="1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9" x14ac:dyDescent="0.25">
      <c r="A20" s="95">
        <v>1</v>
      </c>
      <c r="B20" s="96">
        <v>2</v>
      </c>
      <c r="C20" s="96">
        <v>3</v>
      </c>
      <c r="D20" s="96">
        <v>4</v>
      </c>
      <c r="E20" s="97">
        <v>5</v>
      </c>
      <c r="F20" s="95">
        <v>6</v>
      </c>
      <c r="G20" s="96">
        <v>7</v>
      </c>
      <c r="H20" s="96">
        <v>8</v>
      </c>
      <c r="I20" s="96">
        <v>9</v>
      </c>
      <c r="J20" s="96">
        <v>10</v>
      </c>
      <c r="K20" s="98">
        <v>11</v>
      </c>
      <c r="L20" s="99">
        <v>12</v>
      </c>
      <c r="M20" s="96">
        <v>13</v>
      </c>
      <c r="N20" s="96">
        <v>14</v>
      </c>
      <c r="O20" s="96">
        <v>15</v>
      </c>
      <c r="P20" s="98">
        <v>16</v>
      </c>
    </row>
    <row r="21" spans="1:19" s="58" customFormat="1" ht="17.100000000000001" customHeight="1" x14ac:dyDescent="0.25">
      <c r="A21" s="100"/>
      <c r="B21" s="101"/>
      <c r="C21" s="338" t="s">
        <v>339</v>
      </c>
      <c r="D21" s="339"/>
      <c r="E21" s="340"/>
      <c r="F21" s="102"/>
      <c r="G21" s="103"/>
      <c r="H21" s="104"/>
      <c r="I21" s="104"/>
      <c r="J21" s="104"/>
      <c r="K21" s="105"/>
      <c r="L21" s="106"/>
      <c r="M21" s="104"/>
      <c r="N21" s="104"/>
      <c r="O21" s="104"/>
      <c r="P21" s="107"/>
    </row>
    <row r="22" spans="1:19" s="58" customFormat="1" ht="17.100000000000001" customHeight="1" x14ac:dyDescent="0.25">
      <c r="A22" s="59">
        <v>1</v>
      </c>
      <c r="B22" s="60" t="s">
        <v>108</v>
      </c>
      <c r="C22" s="358" t="s">
        <v>340</v>
      </c>
      <c r="D22" s="333" t="s">
        <v>110</v>
      </c>
      <c r="E22" s="334">
        <v>8</v>
      </c>
      <c r="F22" s="63"/>
      <c r="G22" s="64"/>
      <c r="H22" s="65"/>
      <c r="I22" s="64"/>
      <c r="J22" s="64"/>
      <c r="K22" s="66"/>
      <c r="L22" s="67"/>
      <c r="M22" s="64"/>
      <c r="N22" s="64"/>
      <c r="O22" s="64"/>
      <c r="P22" s="68"/>
      <c r="S22" s="94"/>
    </row>
    <row r="23" spans="1:19" s="58" customFormat="1" ht="17.100000000000001" customHeight="1" x14ac:dyDescent="0.25">
      <c r="A23" s="59">
        <v>2</v>
      </c>
      <c r="B23" s="60" t="s">
        <v>108</v>
      </c>
      <c r="C23" s="358" t="s">
        <v>341</v>
      </c>
      <c r="D23" s="333" t="s">
        <v>114</v>
      </c>
      <c r="E23" s="334">
        <v>22</v>
      </c>
      <c r="F23" s="63"/>
      <c r="G23" s="64"/>
      <c r="H23" s="65"/>
      <c r="I23" s="64"/>
      <c r="J23" s="64"/>
      <c r="K23" s="66"/>
      <c r="L23" s="67"/>
      <c r="M23" s="64"/>
      <c r="N23" s="64"/>
      <c r="O23" s="64"/>
      <c r="P23" s="68"/>
      <c r="S23" s="94"/>
    </row>
    <row r="24" spans="1:19" s="58" customFormat="1" ht="17.100000000000001" customHeight="1" x14ac:dyDescent="0.25">
      <c r="A24" s="59">
        <v>3</v>
      </c>
      <c r="B24" s="60" t="s">
        <v>108</v>
      </c>
      <c r="C24" s="358" t="s">
        <v>342</v>
      </c>
      <c r="D24" s="333" t="s">
        <v>124</v>
      </c>
      <c r="E24" s="334">
        <f>1.9*0.22+3.3*2*0.3+0.5</f>
        <v>2.8979999999999997</v>
      </c>
      <c r="F24" s="63"/>
      <c r="G24" s="64"/>
      <c r="H24" s="65"/>
      <c r="I24" s="64"/>
      <c r="J24" s="64"/>
      <c r="K24" s="66"/>
      <c r="L24" s="67"/>
      <c r="M24" s="64"/>
      <c r="N24" s="64"/>
      <c r="O24" s="64"/>
      <c r="P24" s="68"/>
      <c r="S24" s="94"/>
    </row>
    <row r="25" spans="1:19" s="58" customFormat="1" ht="17.100000000000001" customHeight="1" x14ac:dyDescent="0.25">
      <c r="A25" s="59">
        <v>4</v>
      </c>
      <c r="B25" s="60" t="s">
        <v>108</v>
      </c>
      <c r="C25" s="358" t="s">
        <v>343</v>
      </c>
      <c r="D25" s="333" t="s">
        <v>124</v>
      </c>
      <c r="E25" s="334">
        <f>3.3*2*1.45+2*3*1.35</f>
        <v>17.670000000000002</v>
      </c>
      <c r="F25" s="63"/>
      <c r="G25" s="64"/>
      <c r="H25" s="65"/>
      <c r="I25" s="64"/>
      <c r="J25" s="64"/>
      <c r="K25" s="66"/>
      <c r="L25" s="67"/>
      <c r="M25" s="64"/>
      <c r="N25" s="64"/>
      <c r="O25" s="64"/>
      <c r="P25" s="68"/>
      <c r="S25" s="94"/>
    </row>
    <row r="26" spans="1:19" s="58" customFormat="1" ht="17.100000000000001" customHeight="1" x14ac:dyDescent="0.25">
      <c r="A26" s="59">
        <v>5</v>
      </c>
      <c r="B26" s="60" t="s">
        <v>108</v>
      </c>
      <c r="C26" s="358" t="s">
        <v>169</v>
      </c>
      <c r="D26" s="333" t="s">
        <v>112</v>
      </c>
      <c r="E26" s="334">
        <v>1</v>
      </c>
      <c r="F26" s="63"/>
      <c r="G26" s="64"/>
      <c r="H26" s="65"/>
      <c r="I26" s="64"/>
      <c r="J26" s="64"/>
      <c r="K26" s="66"/>
      <c r="L26" s="67"/>
      <c r="M26" s="64"/>
      <c r="N26" s="64"/>
      <c r="O26" s="64"/>
      <c r="P26" s="68"/>
      <c r="S26" s="94"/>
    </row>
    <row r="27" spans="1:19" s="58" customFormat="1" ht="25.5" customHeight="1" x14ac:dyDescent="0.25">
      <c r="A27" s="59">
        <v>6</v>
      </c>
      <c r="B27" s="60" t="s">
        <v>108</v>
      </c>
      <c r="C27" s="329" t="s">
        <v>170</v>
      </c>
      <c r="D27" s="330" t="s">
        <v>171</v>
      </c>
      <c r="E27" s="331">
        <f>(E24*0.02+E25*0.02+E22*1*0.05)*1.5</f>
        <v>1.2170400000000001</v>
      </c>
      <c r="F27" s="92"/>
      <c r="G27" s="64"/>
      <c r="H27" s="93"/>
      <c r="I27" s="74"/>
      <c r="J27" s="64"/>
      <c r="K27" s="66"/>
      <c r="L27" s="67"/>
      <c r="M27" s="64"/>
      <c r="N27" s="64"/>
      <c r="O27" s="64"/>
      <c r="P27" s="68"/>
      <c r="S27" s="94"/>
    </row>
    <row r="28" spans="1:19" s="58" customFormat="1" ht="17.100000000000001" customHeight="1" x14ac:dyDescent="0.25">
      <c r="A28" s="100"/>
      <c r="B28" s="101"/>
      <c r="C28" s="338" t="s">
        <v>344</v>
      </c>
      <c r="D28" s="339"/>
      <c r="E28" s="340"/>
      <c r="F28" s="102"/>
      <c r="G28" s="103"/>
      <c r="H28" s="104"/>
      <c r="I28" s="104"/>
      <c r="J28" s="64"/>
      <c r="K28" s="142"/>
      <c r="L28" s="143"/>
      <c r="M28" s="103"/>
      <c r="N28" s="103"/>
      <c r="O28" s="103"/>
      <c r="P28" s="144"/>
      <c r="S28" s="94"/>
    </row>
    <row r="29" spans="1:19" s="58" customFormat="1" ht="38.25" customHeight="1" x14ac:dyDescent="0.25">
      <c r="A29" s="59">
        <v>1</v>
      </c>
      <c r="B29" s="60" t="s">
        <v>108</v>
      </c>
      <c r="C29" s="358" t="s">
        <v>602</v>
      </c>
      <c r="D29" s="333" t="s">
        <v>124</v>
      </c>
      <c r="E29" s="334">
        <f>E24+E25</f>
        <v>20.568000000000001</v>
      </c>
      <c r="F29" s="63"/>
      <c r="G29" s="64"/>
      <c r="H29" s="65"/>
      <c r="I29" s="64"/>
      <c r="J29" s="64"/>
      <c r="K29" s="66"/>
      <c r="L29" s="67"/>
      <c r="M29" s="64"/>
      <c r="N29" s="64"/>
      <c r="O29" s="64"/>
      <c r="P29" s="68"/>
      <c r="S29" s="94"/>
    </row>
    <row r="30" spans="1:19" s="58" customFormat="1" ht="17.100000000000001" customHeight="1" x14ac:dyDescent="0.25">
      <c r="A30" s="59">
        <v>2</v>
      </c>
      <c r="B30" s="60"/>
      <c r="C30" s="348" t="s">
        <v>176</v>
      </c>
      <c r="D30" s="333" t="s">
        <v>177</v>
      </c>
      <c r="E30" s="334">
        <f>E29*0.2*1.15</f>
        <v>4.7306400000000002</v>
      </c>
      <c r="F30" s="63"/>
      <c r="G30" s="64"/>
      <c r="H30" s="65"/>
      <c r="I30" s="64"/>
      <c r="J30" s="64"/>
      <c r="K30" s="66"/>
      <c r="L30" s="67"/>
      <c r="M30" s="64"/>
      <c r="N30" s="64"/>
      <c r="O30" s="64"/>
      <c r="P30" s="68"/>
      <c r="S30" s="94"/>
    </row>
    <row r="31" spans="1:19" s="58" customFormat="1" ht="17.100000000000001" customHeight="1" x14ac:dyDescent="0.25">
      <c r="A31" s="59">
        <v>3</v>
      </c>
      <c r="B31" s="60"/>
      <c r="C31" s="348" t="s">
        <v>345</v>
      </c>
      <c r="D31" s="333" t="s">
        <v>180</v>
      </c>
      <c r="E31" s="334">
        <f>E29*1.5*1.2</f>
        <v>37.022400000000005</v>
      </c>
      <c r="F31" s="63"/>
      <c r="G31" s="64"/>
      <c r="H31" s="65"/>
      <c r="I31" s="64"/>
      <c r="J31" s="64"/>
      <c r="K31" s="66"/>
      <c r="L31" s="67"/>
      <c r="M31" s="64"/>
      <c r="N31" s="64"/>
      <c r="O31" s="64"/>
      <c r="P31" s="68"/>
      <c r="S31" s="94"/>
    </row>
    <row r="32" spans="1:19" s="58" customFormat="1" ht="17.100000000000001" customHeight="1" x14ac:dyDescent="0.25">
      <c r="A32" s="59">
        <v>4</v>
      </c>
      <c r="B32" s="60"/>
      <c r="C32" s="348" t="s">
        <v>346</v>
      </c>
      <c r="D32" s="333" t="s">
        <v>177</v>
      </c>
      <c r="E32" s="334">
        <f>E29*2*0.2*1.15</f>
        <v>9.4612800000000004</v>
      </c>
      <c r="F32" s="63"/>
      <c r="G32" s="64"/>
      <c r="H32" s="65"/>
      <c r="I32" s="64"/>
      <c r="J32" s="64"/>
      <c r="K32" s="66"/>
      <c r="L32" s="67"/>
      <c r="M32" s="64"/>
      <c r="N32" s="64"/>
      <c r="O32" s="64"/>
      <c r="P32" s="68"/>
      <c r="S32" s="94"/>
    </row>
    <row r="33" spans="1:19" s="58" customFormat="1" ht="17.100000000000001" customHeight="1" x14ac:dyDescent="0.25">
      <c r="A33" s="59">
        <v>5</v>
      </c>
      <c r="B33" s="60"/>
      <c r="C33" s="348" t="s">
        <v>194</v>
      </c>
      <c r="D33" s="333" t="s">
        <v>112</v>
      </c>
      <c r="E33" s="334">
        <v>1</v>
      </c>
      <c r="F33" s="63"/>
      <c r="G33" s="64"/>
      <c r="H33" s="65"/>
      <c r="I33" s="64"/>
      <c r="J33" s="64"/>
      <c r="K33" s="66"/>
      <c r="L33" s="67"/>
      <c r="M33" s="64"/>
      <c r="N33" s="64"/>
      <c r="O33" s="64"/>
      <c r="P33" s="68"/>
      <c r="S33" s="94"/>
    </row>
    <row r="34" spans="1:19" s="58" customFormat="1" ht="43.15" customHeight="1" x14ac:dyDescent="0.25">
      <c r="A34" s="59">
        <v>6</v>
      </c>
      <c r="B34" s="60" t="s">
        <v>108</v>
      </c>
      <c r="C34" s="332" t="s">
        <v>819</v>
      </c>
      <c r="D34" s="333" t="s">
        <v>114</v>
      </c>
      <c r="E34" s="334">
        <f>E23</f>
        <v>22</v>
      </c>
      <c r="F34" s="63"/>
      <c r="G34" s="64"/>
      <c r="H34" s="65"/>
      <c r="I34" s="64"/>
      <c r="J34" s="64"/>
      <c r="K34" s="66"/>
      <c r="L34" s="67"/>
      <c r="M34" s="64"/>
      <c r="N34" s="64"/>
      <c r="O34" s="64"/>
      <c r="P34" s="68"/>
      <c r="S34" s="94"/>
    </row>
    <row r="35" spans="1:19" s="58" customFormat="1" ht="21" customHeight="1" x14ac:dyDescent="0.25">
      <c r="A35" s="59">
        <v>7</v>
      </c>
      <c r="B35" s="60" t="s">
        <v>108</v>
      </c>
      <c r="C35" s="332" t="s">
        <v>603</v>
      </c>
      <c r="D35" s="333" t="s">
        <v>124</v>
      </c>
      <c r="E35" s="334">
        <v>8.1</v>
      </c>
      <c r="F35" s="63"/>
      <c r="G35" s="64"/>
      <c r="H35" s="65"/>
      <c r="I35" s="64"/>
      <c r="J35" s="64"/>
      <c r="K35" s="66"/>
      <c r="L35" s="67"/>
      <c r="M35" s="64"/>
      <c r="N35" s="64"/>
      <c r="O35" s="64"/>
      <c r="P35" s="68"/>
      <c r="S35" s="94"/>
    </row>
    <row r="36" spans="1:19" s="58" customFormat="1" ht="18.600000000000001" customHeight="1" x14ac:dyDescent="0.25">
      <c r="A36" s="59">
        <v>8</v>
      </c>
      <c r="B36" s="60" t="s">
        <v>108</v>
      </c>
      <c r="C36" s="332" t="s">
        <v>347</v>
      </c>
      <c r="D36" s="333" t="s">
        <v>114</v>
      </c>
      <c r="E36" s="334">
        <v>24</v>
      </c>
      <c r="F36" s="63"/>
      <c r="G36" s="64"/>
      <c r="H36" s="65"/>
      <c r="I36" s="64"/>
      <c r="J36" s="64"/>
      <c r="K36" s="66"/>
      <c r="L36" s="67"/>
      <c r="M36" s="64"/>
      <c r="N36" s="64"/>
      <c r="O36" s="64"/>
      <c r="P36" s="68"/>
      <c r="S36" s="94"/>
    </row>
    <row r="37" spans="1:19" s="58" customFormat="1" ht="17.100000000000001" customHeight="1" x14ac:dyDescent="0.25">
      <c r="A37" s="100"/>
      <c r="B37" s="101"/>
      <c r="C37" s="338" t="s">
        <v>348</v>
      </c>
      <c r="D37" s="339"/>
      <c r="E37" s="340"/>
      <c r="F37" s="102"/>
      <c r="G37" s="103"/>
      <c r="H37" s="104"/>
      <c r="I37" s="104"/>
      <c r="J37" s="64"/>
      <c r="K37" s="142"/>
      <c r="L37" s="143"/>
      <c r="M37" s="103"/>
      <c r="N37" s="103"/>
      <c r="O37" s="103"/>
      <c r="P37" s="144"/>
      <c r="S37" s="94"/>
    </row>
    <row r="38" spans="1:19" s="58" customFormat="1" ht="17.100000000000001" customHeight="1" x14ac:dyDescent="0.25">
      <c r="A38" s="59">
        <v>1</v>
      </c>
      <c r="B38" s="60" t="s">
        <v>108</v>
      </c>
      <c r="C38" s="358" t="s">
        <v>349</v>
      </c>
      <c r="D38" s="333" t="s">
        <v>110</v>
      </c>
      <c r="E38" s="334">
        <v>8.6</v>
      </c>
      <c r="F38" s="63"/>
      <c r="G38" s="64"/>
      <c r="H38" s="65"/>
      <c r="I38" s="64"/>
      <c r="J38" s="64"/>
      <c r="K38" s="66"/>
      <c r="L38" s="67"/>
      <c r="M38" s="64"/>
      <c r="N38" s="64"/>
      <c r="O38" s="64"/>
      <c r="P38" s="68"/>
      <c r="S38" s="94"/>
    </row>
    <row r="39" spans="1:19" s="58" customFormat="1" ht="17.100000000000001" customHeight="1" x14ac:dyDescent="0.25">
      <c r="A39" s="59">
        <v>2</v>
      </c>
      <c r="B39" s="60"/>
      <c r="C39" s="348" t="s">
        <v>350</v>
      </c>
      <c r="D39" s="333" t="s">
        <v>114</v>
      </c>
      <c r="E39" s="334">
        <v>10</v>
      </c>
      <c r="F39" s="63"/>
      <c r="G39" s="64"/>
      <c r="H39" s="65"/>
      <c r="I39" s="64"/>
      <c r="J39" s="64"/>
      <c r="K39" s="66"/>
      <c r="L39" s="67"/>
      <c r="M39" s="64"/>
      <c r="N39" s="64"/>
      <c r="O39" s="64"/>
      <c r="P39" s="68"/>
      <c r="S39" s="94"/>
    </row>
    <row r="40" spans="1:19" s="58" customFormat="1" ht="17.100000000000001" customHeight="1" x14ac:dyDescent="0.25">
      <c r="A40" s="59">
        <v>3</v>
      </c>
      <c r="B40" s="60"/>
      <c r="C40" s="348" t="s">
        <v>351</v>
      </c>
      <c r="D40" s="333" t="s">
        <v>110</v>
      </c>
      <c r="E40" s="334">
        <v>8.6</v>
      </c>
      <c r="F40" s="63"/>
      <c r="G40" s="64"/>
      <c r="H40" s="65"/>
      <c r="I40" s="64"/>
      <c r="J40" s="64"/>
      <c r="K40" s="66"/>
      <c r="L40" s="67"/>
      <c r="M40" s="64"/>
      <c r="N40" s="64"/>
      <c r="O40" s="64"/>
      <c r="P40" s="68"/>
      <c r="S40" s="94"/>
    </row>
    <row r="41" spans="1:19" s="58" customFormat="1" ht="17.100000000000001" customHeight="1" x14ac:dyDescent="0.25">
      <c r="A41" s="59">
        <v>4</v>
      </c>
      <c r="B41" s="60"/>
      <c r="C41" s="348" t="s">
        <v>352</v>
      </c>
      <c r="D41" s="333" t="s">
        <v>114</v>
      </c>
      <c r="E41" s="334">
        <v>11</v>
      </c>
      <c r="F41" s="63"/>
      <c r="G41" s="64"/>
      <c r="H41" s="65"/>
      <c r="I41" s="64"/>
      <c r="J41" s="64"/>
      <c r="K41" s="66"/>
      <c r="L41" s="67"/>
      <c r="M41" s="64"/>
      <c r="N41" s="64"/>
      <c r="O41" s="64"/>
      <c r="P41" s="68"/>
      <c r="S41" s="94"/>
    </row>
    <row r="42" spans="1:19" s="58" customFormat="1" ht="26.45" customHeight="1" x14ac:dyDescent="0.25">
      <c r="A42" s="59">
        <v>5</v>
      </c>
      <c r="B42" s="60"/>
      <c r="C42" s="348" t="s">
        <v>353</v>
      </c>
      <c r="D42" s="333" t="s">
        <v>114</v>
      </c>
      <c r="E42" s="334">
        <v>32</v>
      </c>
      <c r="F42" s="63"/>
      <c r="G42" s="64"/>
      <c r="H42" s="65"/>
      <c r="I42" s="64"/>
      <c r="J42" s="64"/>
      <c r="K42" s="66"/>
      <c r="L42" s="67"/>
      <c r="M42" s="64"/>
      <c r="N42" s="64"/>
      <c r="O42" s="64"/>
      <c r="P42" s="68"/>
      <c r="S42" s="94"/>
    </row>
    <row r="43" spans="1:19" s="58" customFormat="1" ht="17.100000000000001" customHeight="1" x14ac:dyDescent="0.25">
      <c r="A43" s="59">
        <v>6</v>
      </c>
      <c r="B43" s="60"/>
      <c r="C43" s="348" t="s">
        <v>354</v>
      </c>
      <c r="D43" s="333" t="s">
        <v>114</v>
      </c>
      <c r="E43" s="334">
        <v>11</v>
      </c>
      <c r="F43" s="63"/>
      <c r="G43" s="64"/>
      <c r="H43" s="65"/>
      <c r="I43" s="64"/>
      <c r="J43" s="64"/>
      <c r="K43" s="66"/>
      <c r="L43" s="67"/>
      <c r="M43" s="64"/>
      <c r="N43" s="64"/>
      <c r="O43" s="64"/>
      <c r="P43" s="68"/>
      <c r="S43" s="94"/>
    </row>
    <row r="44" spans="1:19" s="58" customFormat="1" ht="17.100000000000001" customHeight="1" x14ac:dyDescent="0.25">
      <c r="A44" s="59">
        <v>7</v>
      </c>
      <c r="B44" s="60"/>
      <c r="C44" s="348" t="s">
        <v>355</v>
      </c>
      <c r="D44" s="333" t="s">
        <v>124</v>
      </c>
      <c r="E44" s="334">
        <v>6.6</v>
      </c>
      <c r="F44" s="63"/>
      <c r="G44" s="64"/>
      <c r="H44" s="65"/>
      <c r="I44" s="64"/>
      <c r="J44" s="64"/>
      <c r="K44" s="66"/>
      <c r="L44" s="67"/>
      <c r="M44" s="64"/>
      <c r="N44" s="64"/>
      <c r="O44" s="64"/>
      <c r="P44" s="68"/>
      <c r="S44" s="94"/>
    </row>
    <row r="45" spans="1:19" s="58" customFormat="1" ht="17.100000000000001" customHeight="1" x14ac:dyDescent="0.25">
      <c r="A45" s="59">
        <v>8</v>
      </c>
      <c r="B45" s="60"/>
      <c r="C45" s="348" t="s">
        <v>356</v>
      </c>
      <c r="D45" s="333" t="s">
        <v>112</v>
      </c>
      <c r="E45" s="334">
        <v>1</v>
      </c>
      <c r="F45" s="63"/>
      <c r="G45" s="64"/>
      <c r="H45" s="65"/>
      <c r="I45" s="64"/>
      <c r="J45" s="64"/>
      <c r="K45" s="66"/>
      <c r="L45" s="67"/>
      <c r="M45" s="64"/>
      <c r="N45" s="64"/>
      <c r="O45" s="64"/>
      <c r="P45" s="68"/>
      <c r="S45" s="94"/>
    </row>
    <row r="46" spans="1:19" ht="18.600000000000001" customHeight="1" x14ac:dyDescent="0.25">
      <c r="A46" s="82"/>
      <c r="B46" s="83"/>
      <c r="C46" s="83"/>
      <c r="D46" s="83"/>
      <c r="E46" s="84"/>
      <c r="F46" s="82"/>
      <c r="G46" s="83"/>
      <c r="H46" s="83"/>
      <c r="I46" s="83"/>
      <c r="J46" s="83"/>
      <c r="K46" s="85"/>
      <c r="L46" s="86"/>
      <c r="M46" s="83"/>
      <c r="N46" s="83"/>
      <c r="O46" s="83"/>
      <c r="P46" s="85"/>
    </row>
    <row r="47" spans="1:19" ht="18.600000000000001" customHeight="1" x14ac:dyDescent="0.25">
      <c r="A47" s="87"/>
      <c r="B47" s="88"/>
      <c r="C47" s="419" t="s">
        <v>136</v>
      </c>
      <c r="D47" s="419"/>
      <c r="E47" s="419"/>
      <c r="F47" s="419"/>
      <c r="G47" s="419"/>
      <c r="H47" s="419"/>
      <c r="I47" s="419"/>
      <c r="J47" s="419"/>
      <c r="K47" s="419"/>
      <c r="L47" s="89">
        <f>SUM(L21:L46)</f>
        <v>0</v>
      </c>
      <c r="M47" s="90">
        <f>SUM(M21:M46)</f>
        <v>0</v>
      </c>
      <c r="N47" s="90">
        <f>SUM(N21:N46)</f>
        <v>0</v>
      </c>
      <c r="O47" s="90">
        <f>SUM(O21:O46)</f>
        <v>0</v>
      </c>
      <c r="P47" s="21">
        <f>SUM(P21:P46)</f>
        <v>0</v>
      </c>
    </row>
    <row r="48" spans="1:19" ht="18.600000000000001" customHeight="1" x14ac:dyDescent="0.25"/>
    <row r="49" spans="2:6" ht="18.600000000000001" customHeight="1" x14ac:dyDescent="0.25">
      <c r="B49" s="1" t="s">
        <v>26</v>
      </c>
      <c r="C49" s="6">
        <f>KOPTAME!C58</f>
        <v>0</v>
      </c>
      <c r="E49" s="34">
        <f>'KOPS 1'!F42</f>
        <v>0</v>
      </c>
    </row>
    <row r="50" spans="2:6" ht="17.100000000000001" customHeight="1" x14ac:dyDescent="0.25">
      <c r="C50" s="32" t="s">
        <v>86</v>
      </c>
      <c r="E50" s="2"/>
    </row>
    <row r="51" spans="2:6" ht="17.100000000000001" customHeight="1" x14ac:dyDescent="0.25">
      <c r="E51" s="2"/>
    </row>
    <row r="52" spans="2:6" ht="17.100000000000001" customHeight="1" x14ac:dyDescent="0.25">
      <c r="B52" s="5"/>
      <c r="C52" s="33"/>
      <c r="D52" s="2"/>
      <c r="E52" s="2"/>
      <c r="F52" s="42"/>
    </row>
    <row r="53" spans="2:6" ht="17.100000000000001" customHeight="1" x14ac:dyDescent="0.25">
      <c r="E53" s="2"/>
    </row>
    <row r="54" spans="2:6" ht="17.100000000000001" customHeight="1" x14ac:dyDescent="0.25">
      <c r="B54" s="1" t="s">
        <v>28</v>
      </c>
      <c r="C54" s="6">
        <f>KOPTAME!C63</f>
        <v>0</v>
      </c>
      <c r="E54" s="34">
        <f>E49</f>
        <v>0</v>
      </c>
    </row>
    <row r="55" spans="2:6" ht="17.100000000000001" customHeight="1" x14ac:dyDescent="0.25">
      <c r="C55" s="32" t="s">
        <v>86</v>
      </c>
    </row>
    <row r="56" spans="2:6" ht="17.100000000000001" customHeight="1" x14ac:dyDescent="0.25"/>
    <row r="57" spans="2:6" ht="17.100000000000001" customHeight="1" x14ac:dyDescent="0.25">
      <c r="C57" s="1">
        <f>KOPTAME!C68</f>
        <v>0</v>
      </c>
    </row>
    <row r="58" spans="2:6" ht="17.100000000000001" customHeight="1" x14ac:dyDescent="0.25"/>
    <row r="59" spans="2:6" ht="17.100000000000001" customHeight="1" x14ac:dyDescent="0.25">
      <c r="C59" s="1">
        <f>KOPTAME!C70</f>
        <v>0</v>
      </c>
    </row>
    <row r="60" spans="2:6" ht="17.100000000000001" customHeight="1" x14ac:dyDescent="0.25"/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47:K47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58" firstPageNumber="0" orientation="landscape" horizontalDpi="300" verticalDpi="300" r:id="rId1"/>
  <rowBreaks count="1" manualBreakCount="1">
    <brk id="5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A1:AMJ107"/>
  <sheetViews>
    <sheetView view="pageBreakPreview" topLeftCell="A75" zoomScaleNormal="100" workbookViewId="0">
      <selection activeCell="S23" sqref="S23"/>
    </sheetView>
  </sheetViews>
  <sheetFormatPr defaultColWidth="9.140625" defaultRowHeight="15" x14ac:dyDescent="0.25"/>
  <cols>
    <col min="1" max="1" width="6.28515625" style="149" customWidth="1"/>
    <col min="2" max="2" width="10" style="149" customWidth="1"/>
    <col min="3" max="3" width="32.85546875" style="149" customWidth="1"/>
    <col min="4" max="4" width="8" style="149" customWidth="1"/>
    <col min="5" max="5" width="7.140625" style="149" customWidth="1"/>
    <col min="6" max="6" width="9.140625" style="149"/>
    <col min="7" max="7" width="7.140625" style="149" customWidth="1"/>
    <col min="8" max="8" width="8.42578125" style="149" customWidth="1"/>
    <col min="9" max="9" width="8.28515625" style="149" customWidth="1"/>
    <col min="10" max="10" width="9.140625" style="149"/>
    <col min="11" max="11" width="8.28515625" style="149" customWidth="1"/>
    <col min="12" max="12" width="7.85546875" style="149" customWidth="1"/>
    <col min="13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x14ac:dyDescent="0.25">
      <c r="E2" s="455" t="s">
        <v>88</v>
      </c>
      <c r="F2" s="455"/>
      <c r="G2" s="455"/>
      <c r="H2" s="455"/>
      <c r="I2" s="151" t="s">
        <v>655</v>
      </c>
    </row>
    <row r="3" spans="1:16" x14ac:dyDescent="0.25">
      <c r="D3" s="456" t="s">
        <v>64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P95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47" t="s">
        <v>92</v>
      </c>
      <c r="B17" s="448" t="s">
        <v>93</v>
      </c>
      <c r="C17" s="449" t="s">
        <v>94</v>
      </c>
      <c r="D17" s="450" t="s">
        <v>95</v>
      </c>
      <c r="E17" s="451" t="s">
        <v>96</v>
      </c>
      <c r="F17" s="444" t="s">
        <v>97</v>
      </c>
      <c r="G17" s="444"/>
      <c r="H17" s="444"/>
      <c r="I17" s="444"/>
      <c r="J17" s="444"/>
      <c r="K17" s="444"/>
      <c r="L17" s="445" t="s">
        <v>98</v>
      </c>
      <c r="M17" s="445"/>
      <c r="N17" s="445"/>
      <c r="O17" s="445"/>
      <c r="P17" s="445"/>
    </row>
    <row r="18" spans="1:19" ht="58.15" customHeight="1" x14ac:dyDescent="0.25">
      <c r="A18" s="447"/>
      <c r="B18" s="448"/>
      <c r="C18" s="449"/>
      <c r="D18" s="450"/>
      <c r="E18" s="451"/>
      <c r="F18" s="156" t="s">
        <v>99</v>
      </c>
      <c r="G18" s="157" t="s">
        <v>100</v>
      </c>
      <c r="H18" s="157" t="s">
        <v>101</v>
      </c>
      <c r="I18" s="157" t="s">
        <v>102</v>
      </c>
      <c r="J18" s="157" t="s">
        <v>103</v>
      </c>
      <c r="K18" s="158" t="s">
        <v>104</v>
      </c>
      <c r="L18" s="159" t="s">
        <v>105</v>
      </c>
      <c r="M18" s="157" t="s">
        <v>101</v>
      </c>
      <c r="N18" s="157" t="s">
        <v>102</v>
      </c>
      <c r="O18" s="157" t="s">
        <v>103</v>
      </c>
      <c r="P18" s="158" t="s">
        <v>106</v>
      </c>
    </row>
    <row r="19" spans="1:19" x14ac:dyDescent="0.25">
      <c r="A19" s="160">
        <v>1</v>
      </c>
      <c r="B19" s="161">
        <v>2</v>
      </c>
      <c r="C19" s="161">
        <v>3</v>
      </c>
      <c r="D19" s="161">
        <v>4</v>
      </c>
      <c r="E19" s="162">
        <v>5</v>
      </c>
      <c r="F19" s="160">
        <v>6</v>
      </c>
      <c r="G19" s="161">
        <v>7</v>
      </c>
      <c r="H19" s="161">
        <v>8</v>
      </c>
      <c r="I19" s="161">
        <v>9</v>
      </c>
      <c r="J19" s="161">
        <v>10</v>
      </c>
      <c r="K19" s="163">
        <v>11</v>
      </c>
      <c r="L19" s="164">
        <v>12</v>
      </c>
      <c r="M19" s="161">
        <v>13</v>
      </c>
      <c r="N19" s="161">
        <v>14</v>
      </c>
      <c r="O19" s="161">
        <v>15</v>
      </c>
      <c r="P19" s="163">
        <v>16</v>
      </c>
    </row>
    <row r="20" spans="1:19" x14ac:dyDescent="0.25">
      <c r="A20" s="165"/>
      <c r="B20" s="166"/>
      <c r="C20" s="378" t="s">
        <v>403</v>
      </c>
      <c r="D20" s="383"/>
      <c r="E20" s="384"/>
      <c r="F20" s="165"/>
      <c r="G20" s="166"/>
      <c r="H20" s="166"/>
      <c r="I20" s="166"/>
      <c r="J20" s="166"/>
      <c r="K20" s="168"/>
      <c r="L20" s="169"/>
      <c r="M20" s="166"/>
      <c r="N20" s="166"/>
      <c r="O20" s="166"/>
      <c r="P20" s="168"/>
    </row>
    <row r="21" spans="1:19" s="58" customFormat="1" ht="46.15" customHeight="1" x14ac:dyDescent="0.25">
      <c r="A21" s="71">
        <v>1</v>
      </c>
      <c r="B21" s="91" t="s">
        <v>108</v>
      </c>
      <c r="C21" s="170" t="s">
        <v>404</v>
      </c>
      <c r="D21" s="145" t="s">
        <v>112</v>
      </c>
      <c r="E21" s="389">
        <v>2</v>
      </c>
      <c r="F21" s="12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58.9" customHeight="1" x14ac:dyDescent="0.25">
      <c r="A22" s="71">
        <v>2</v>
      </c>
      <c r="B22" s="91" t="s">
        <v>108</v>
      </c>
      <c r="C22" s="170" t="s">
        <v>405</v>
      </c>
      <c r="D22" s="145" t="s">
        <v>112</v>
      </c>
      <c r="E22" s="389">
        <v>3</v>
      </c>
      <c r="F22" s="12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58.9" customHeight="1" x14ac:dyDescent="0.25">
      <c r="A23" s="71">
        <v>3</v>
      </c>
      <c r="B23" s="91" t="s">
        <v>108</v>
      </c>
      <c r="C23" s="170" t="s">
        <v>406</v>
      </c>
      <c r="D23" s="145" t="s">
        <v>112</v>
      </c>
      <c r="E23" s="389">
        <v>1</v>
      </c>
      <c r="F23" s="122"/>
      <c r="G23" s="64"/>
      <c r="H23" s="93"/>
      <c r="I23" s="7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68.45" customHeight="1" x14ac:dyDescent="0.25">
      <c r="A24" s="71">
        <v>4</v>
      </c>
      <c r="B24" s="91" t="s">
        <v>108</v>
      </c>
      <c r="C24" s="170" t="s">
        <v>407</v>
      </c>
      <c r="D24" s="145" t="s">
        <v>112</v>
      </c>
      <c r="E24" s="389">
        <v>1</v>
      </c>
      <c r="F24" s="122"/>
      <c r="G24" s="64"/>
      <c r="H24" s="93"/>
      <c r="I24" s="7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58.9" customHeight="1" x14ac:dyDescent="0.25">
      <c r="A25" s="71">
        <v>5</v>
      </c>
      <c r="B25" s="91" t="s">
        <v>108</v>
      </c>
      <c r="C25" s="170" t="s">
        <v>408</v>
      </c>
      <c r="D25" s="145" t="s">
        <v>112</v>
      </c>
      <c r="E25" s="389">
        <v>1</v>
      </c>
      <c r="F25" s="122"/>
      <c r="G25" s="64"/>
      <c r="H25" s="93"/>
      <c r="I25" s="7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58.9" customHeight="1" x14ac:dyDescent="0.25">
      <c r="A26" s="71">
        <v>6</v>
      </c>
      <c r="B26" s="91" t="s">
        <v>108</v>
      </c>
      <c r="C26" s="170" t="s">
        <v>409</v>
      </c>
      <c r="D26" s="145" t="s">
        <v>112</v>
      </c>
      <c r="E26" s="389">
        <v>3</v>
      </c>
      <c r="F26" s="122"/>
      <c r="G26" s="64"/>
      <c r="H26" s="93"/>
      <c r="I26" s="7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63.6" customHeight="1" x14ac:dyDescent="0.25">
      <c r="A27" s="71">
        <v>7</v>
      </c>
      <c r="B27" s="91" t="s">
        <v>108</v>
      </c>
      <c r="C27" s="170" t="s">
        <v>410</v>
      </c>
      <c r="D27" s="145" t="s">
        <v>112</v>
      </c>
      <c r="E27" s="389">
        <v>1</v>
      </c>
      <c r="F27" s="122"/>
      <c r="G27" s="64"/>
      <c r="H27" s="93"/>
      <c r="I27" s="7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46.15" customHeight="1" x14ac:dyDescent="0.25">
      <c r="A28" s="71">
        <v>8</v>
      </c>
      <c r="B28" s="91" t="s">
        <v>108</v>
      </c>
      <c r="C28" s="170" t="s">
        <v>411</v>
      </c>
      <c r="D28" s="145" t="s">
        <v>112</v>
      </c>
      <c r="E28" s="389">
        <v>1</v>
      </c>
      <c r="F28" s="122"/>
      <c r="G28" s="64"/>
      <c r="H28" s="93"/>
      <c r="I28" s="74"/>
      <c r="J28" s="64"/>
      <c r="K28" s="68"/>
      <c r="L28" s="112"/>
      <c r="M28" s="64"/>
      <c r="N28" s="64"/>
      <c r="O28" s="64"/>
      <c r="P28" s="68"/>
      <c r="S28" s="94"/>
    </row>
    <row r="29" spans="1:19" s="58" customFormat="1" ht="34.35" customHeight="1" x14ac:dyDescent="0.25">
      <c r="A29" s="71">
        <v>9</v>
      </c>
      <c r="B29" s="91" t="s">
        <v>108</v>
      </c>
      <c r="C29" s="170" t="s">
        <v>412</v>
      </c>
      <c r="D29" s="145" t="s">
        <v>112</v>
      </c>
      <c r="E29" s="389">
        <v>1</v>
      </c>
      <c r="F29" s="122"/>
      <c r="G29" s="64"/>
      <c r="H29" s="93"/>
      <c r="I29" s="64"/>
      <c r="J29" s="64"/>
      <c r="K29" s="68"/>
      <c r="L29" s="112"/>
      <c r="M29" s="64"/>
      <c r="N29" s="64"/>
      <c r="O29" s="64"/>
      <c r="P29" s="68"/>
      <c r="S29" s="94"/>
    </row>
    <row r="30" spans="1:19" s="58" customFormat="1" ht="24" customHeight="1" x14ac:dyDescent="0.25">
      <c r="A30" s="71">
        <v>10</v>
      </c>
      <c r="B30" s="91" t="s">
        <v>108</v>
      </c>
      <c r="C30" s="170" t="s">
        <v>413</v>
      </c>
      <c r="D30" s="145" t="s">
        <v>112</v>
      </c>
      <c r="E30" s="389">
        <v>1</v>
      </c>
      <c r="F30" s="122"/>
      <c r="G30" s="64"/>
      <c r="H30" s="93"/>
      <c r="I30" s="64"/>
      <c r="J30" s="64"/>
      <c r="K30" s="68"/>
      <c r="L30" s="112"/>
      <c r="M30" s="64"/>
      <c r="N30" s="64"/>
      <c r="O30" s="64"/>
      <c r="P30" s="68"/>
      <c r="S30" s="94"/>
    </row>
    <row r="31" spans="1:19" s="58" customFormat="1" ht="18.600000000000001" customHeight="1" x14ac:dyDescent="0.25">
      <c r="A31" s="71"/>
      <c r="B31" s="91"/>
      <c r="C31" s="390" t="s">
        <v>414</v>
      </c>
      <c r="D31" s="145"/>
      <c r="E31" s="389"/>
      <c r="F31" s="122"/>
      <c r="G31" s="64"/>
      <c r="H31" s="93"/>
      <c r="I31" s="64"/>
      <c r="J31" s="64"/>
      <c r="K31" s="68"/>
      <c r="L31" s="112"/>
      <c r="M31" s="64"/>
      <c r="N31" s="64"/>
      <c r="O31" s="64"/>
      <c r="P31" s="68"/>
      <c r="S31" s="94"/>
    </row>
    <row r="32" spans="1:19" s="58" customFormat="1" ht="18.600000000000001" customHeight="1" x14ac:dyDescent="0.25">
      <c r="A32" s="71"/>
      <c r="B32" s="91"/>
      <c r="C32" s="390" t="s">
        <v>415</v>
      </c>
      <c r="D32" s="145"/>
      <c r="E32" s="389"/>
      <c r="F32" s="122"/>
      <c r="G32" s="64"/>
      <c r="H32" s="93"/>
      <c r="I32" s="64"/>
      <c r="J32" s="64"/>
      <c r="K32" s="68"/>
      <c r="L32" s="112"/>
      <c r="M32" s="64"/>
      <c r="N32" s="64"/>
      <c r="O32" s="64"/>
      <c r="P32" s="68"/>
      <c r="S32" s="94"/>
    </row>
    <row r="33" spans="1:19" s="58" customFormat="1" ht="57" customHeight="1" x14ac:dyDescent="0.25">
      <c r="A33" s="71">
        <v>1</v>
      </c>
      <c r="B33" s="91" t="s">
        <v>108</v>
      </c>
      <c r="C33" s="170" t="s">
        <v>416</v>
      </c>
      <c r="D33" s="145" t="s">
        <v>110</v>
      </c>
      <c r="E33" s="389">
        <v>49</v>
      </c>
      <c r="F33" s="122"/>
      <c r="G33" s="64"/>
      <c r="H33" s="93"/>
      <c r="I33" s="64"/>
      <c r="J33" s="64"/>
      <c r="K33" s="68"/>
      <c r="L33" s="112"/>
      <c r="M33" s="64"/>
      <c r="N33" s="64"/>
      <c r="O33" s="64"/>
      <c r="P33" s="68"/>
      <c r="S33" s="94"/>
    </row>
    <row r="34" spans="1:19" s="58" customFormat="1" ht="57" customHeight="1" x14ac:dyDescent="0.25">
      <c r="A34" s="71">
        <v>2</v>
      </c>
      <c r="B34" s="91" t="s">
        <v>108</v>
      </c>
      <c r="C34" s="170" t="s">
        <v>417</v>
      </c>
      <c r="D34" s="145" t="s">
        <v>110</v>
      </c>
      <c r="E34" s="389">
        <v>12</v>
      </c>
      <c r="F34" s="122"/>
      <c r="G34" s="64"/>
      <c r="H34" s="93"/>
      <c r="I34" s="64"/>
      <c r="J34" s="64"/>
      <c r="K34" s="68"/>
      <c r="L34" s="112"/>
      <c r="M34" s="64"/>
      <c r="N34" s="64"/>
      <c r="O34" s="64"/>
      <c r="P34" s="68"/>
      <c r="S34" s="94"/>
    </row>
    <row r="35" spans="1:19" s="58" customFormat="1" ht="57" customHeight="1" x14ac:dyDescent="0.25">
      <c r="A35" s="71">
        <v>3</v>
      </c>
      <c r="B35" s="91" t="s">
        <v>108</v>
      </c>
      <c r="C35" s="170" t="s">
        <v>418</v>
      </c>
      <c r="D35" s="145" t="s">
        <v>110</v>
      </c>
      <c r="E35" s="389">
        <v>17</v>
      </c>
      <c r="F35" s="122"/>
      <c r="G35" s="64"/>
      <c r="H35" s="93"/>
      <c r="I35" s="64"/>
      <c r="J35" s="64"/>
      <c r="K35" s="68"/>
      <c r="L35" s="112"/>
      <c r="M35" s="64"/>
      <c r="N35" s="64"/>
      <c r="O35" s="64"/>
      <c r="P35" s="68"/>
      <c r="S35" s="94"/>
    </row>
    <row r="36" spans="1:19" s="58" customFormat="1" ht="57" customHeight="1" x14ac:dyDescent="0.25">
      <c r="A36" s="71">
        <v>4</v>
      </c>
      <c r="B36" s="91" t="s">
        <v>108</v>
      </c>
      <c r="C36" s="170" t="s">
        <v>419</v>
      </c>
      <c r="D36" s="145" t="s">
        <v>110</v>
      </c>
      <c r="E36" s="389">
        <v>12</v>
      </c>
      <c r="F36" s="122"/>
      <c r="G36" s="64"/>
      <c r="H36" s="93"/>
      <c r="I36" s="64"/>
      <c r="J36" s="64"/>
      <c r="K36" s="68"/>
      <c r="L36" s="112"/>
      <c r="M36" s="64"/>
      <c r="N36" s="64"/>
      <c r="O36" s="64"/>
      <c r="P36" s="68"/>
      <c r="S36" s="94"/>
    </row>
    <row r="37" spans="1:19" s="58" customFormat="1" ht="17.850000000000001" customHeight="1" x14ac:dyDescent="0.25">
      <c r="A37" s="71">
        <v>5</v>
      </c>
      <c r="B37" s="91" t="s">
        <v>108</v>
      </c>
      <c r="C37" s="170" t="s">
        <v>420</v>
      </c>
      <c r="D37" s="145" t="s">
        <v>114</v>
      </c>
      <c r="E37" s="389">
        <v>9</v>
      </c>
      <c r="F37" s="122"/>
      <c r="G37" s="64"/>
      <c r="H37" s="93"/>
      <c r="I37" s="64"/>
      <c r="J37" s="64"/>
      <c r="K37" s="68"/>
      <c r="L37" s="112"/>
      <c r="M37" s="64"/>
      <c r="N37" s="64"/>
      <c r="O37" s="64"/>
      <c r="P37" s="68"/>
      <c r="S37" s="94"/>
    </row>
    <row r="38" spans="1:19" s="58" customFormat="1" ht="17.850000000000001" customHeight="1" x14ac:dyDescent="0.25">
      <c r="A38" s="71">
        <v>6</v>
      </c>
      <c r="B38" s="91" t="s">
        <v>108</v>
      </c>
      <c r="C38" s="170" t="s">
        <v>421</v>
      </c>
      <c r="D38" s="145" t="s">
        <v>114</v>
      </c>
      <c r="E38" s="389">
        <v>12</v>
      </c>
      <c r="F38" s="122"/>
      <c r="G38" s="64"/>
      <c r="H38" s="93"/>
      <c r="I38" s="64"/>
      <c r="J38" s="64"/>
      <c r="K38" s="68"/>
      <c r="L38" s="112"/>
      <c r="M38" s="64"/>
      <c r="N38" s="64"/>
      <c r="O38" s="64"/>
      <c r="P38" s="68"/>
      <c r="S38" s="94"/>
    </row>
    <row r="39" spans="1:19" s="58" customFormat="1" ht="17.850000000000001" customHeight="1" x14ac:dyDescent="0.25">
      <c r="A39" s="71">
        <v>7</v>
      </c>
      <c r="B39" s="91" t="s">
        <v>108</v>
      </c>
      <c r="C39" s="170" t="s">
        <v>422</v>
      </c>
      <c r="D39" s="145" t="s">
        <v>114</v>
      </c>
      <c r="E39" s="389">
        <v>2</v>
      </c>
      <c r="F39" s="122"/>
      <c r="G39" s="64"/>
      <c r="H39" s="93"/>
      <c r="I39" s="64"/>
      <c r="J39" s="64"/>
      <c r="K39" s="68"/>
      <c r="L39" s="112"/>
      <c r="M39" s="64"/>
      <c r="N39" s="64"/>
      <c r="O39" s="64"/>
      <c r="P39" s="68"/>
      <c r="S39" s="94"/>
    </row>
    <row r="40" spans="1:19" s="58" customFormat="1" ht="26.85" customHeight="1" x14ac:dyDescent="0.25">
      <c r="A40" s="71">
        <v>8</v>
      </c>
      <c r="B40" s="91" t="s">
        <v>108</v>
      </c>
      <c r="C40" s="170" t="s">
        <v>820</v>
      </c>
      <c r="D40" s="145" t="s">
        <v>114</v>
      </c>
      <c r="E40" s="389">
        <v>2</v>
      </c>
      <c r="F40" s="122"/>
      <c r="G40" s="64"/>
      <c r="H40" s="93"/>
      <c r="I40" s="64"/>
      <c r="J40" s="64"/>
      <c r="K40" s="68"/>
      <c r="L40" s="112"/>
      <c r="M40" s="64"/>
      <c r="N40" s="64"/>
      <c r="O40" s="64"/>
      <c r="P40" s="68"/>
      <c r="S40" s="94"/>
    </row>
    <row r="41" spans="1:19" s="58" customFormat="1" ht="17.850000000000001" customHeight="1" x14ac:dyDescent="0.25">
      <c r="A41" s="71">
        <v>9</v>
      </c>
      <c r="B41" s="91" t="s">
        <v>108</v>
      </c>
      <c r="C41" s="170" t="s">
        <v>423</v>
      </c>
      <c r="D41" s="145" t="s">
        <v>114</v>
      </c>
      <c r="E41" s="389">
        <v>2</v>
      </c>
      <c r="F41" s="122"/>
      <c r="G41" s="64"/>
      <c r="H41" s="93"/>
      <c r="I41" s="64"/>
      <c r="J41" s="64"/>
      <c r="K41" s="68"/>
      <c r="L41" s="112"/>
      <c r="M41" s="64"/>
      <c r="N41" s="64"/>
      <c r="O41" s="64"/>
      <c r="P41" s="68"/>
      <c r="S41" s="94"/>
    </row>
    <row r="42" spans="1:19" s="58" customFormat="1" ht="17.850000000000001" customHeight="1" x14ac:dyDescent="0.25">
      <c r="A42" s="71">
        <v>10</v>
      </c>
      <c r="B42" s="91" t="s">
        <v>108</v>
      </c>
      <c r="C42" s="170" t="s">
        <v>424</v>
      </c>
      <c r="D42" s="145" t="s">
        <v>112</v>
      </c>
      <c r="E42" s="389">
        <v>1</v>
      </c>
      <c r="F42" s="122"/>
      <c r="G42" s="64"/>
      <c r="H42" s="93"/>
      <c r="I42" s="64"/>
      <c r="J42" s="64"/>
      <c r="K42" s="68"/>
      <c r="L42" s="112"/>
      <c r="M42" s="64"/>
      <c r="N42" s="64"/>
      <c r="O42" s="64"/>
      <c r="P42" s="68"/>
      <c r="S42" s="94"/>
    </row>
    <row r="43" spans="1:19" s="58" customFormat="1" ht="28.35" customHeight="1" x14ac:dyDescent="0.25">
      <c r="A43" s="71">
        <v>11</v>
      </c>
      <c r="B43" s="91" t="s">
        <v>108</v>
      </c>
      <c r="C43" s="170" t="s">
        <v>425</v>
      </c>
      <c r="D43" s="145" t="s">
        <v>426</v>
      </c>
      <c r="E43" s="389">
        <v>1</v>
      </c>
      <c r="F43" s="122"/>
      <c r="G43" s="64"/>
      <c r="H43" s="93"/>
      <c r="I43" s="64"/>
      <c r="J43" s="64"/>
      <c r="K43" s="68"/>
      <c r="L43" s="112"/>
      <c r="M43" s="64"/>
      <c r="N43" s="64"/>
      <c r="O43" s="64"/>
      <c r="P43" s="68"/>
      <c r="S43" s="94"/>
    </row>
    <row r="44" spans="1:19" s="58" customFormat="1" ht="17.850000000000001" customHeight="1" x14ac:dyDescent="0.25">
      <c r="A44" s="71">
        <v>12</v>
      </c>
      <c r="B44" s="91" t="s">
        <v>108</v>
      </c>
      <c r="C44" s="170" t="s">
        <v>427</v>
      </c>
      <c r="D44" s="145" t="s">
        <v>112</v>
      </c>
      <c r="E44" s="389">
        <v>1</v>
      </c>
      <c r="F44" s="122"/>
      <c r="G44" s="64"/>
      <c r="H44" s="93"/>
      <c r="I44" s="64"/>
      <c r="J44" s="64"/>
      <c r="K44" s="68"/>
      <c r="L44" s="112"/>
      <c r="M44" s="64"/>
      <c r="N44" s="64"/>
      <c r="O44" s="64"/>
      <c r="P44" s="68"/>
      <c r="S44" s="94"/>
    </row>
    <row r="45" spans="1:19" s="58" customFormat="1" ht="17.850000000000001" customHeight="1" x14ac:dyDescent="0.25">
      <c r="A45" s="71">
        <v>13</v>
      </c>
      <c r="B45" s="91" t="s">
        <v>108</v>
      </c>
      <c r="C45" s="170" t="s">
        <v>428</v>
      </c>
      <c r="D45" s="145" t="s">
        <v>112</v>
      </c>
      <c r="E45" s="389">
        <v>1</v>
      </c>
      <c r="F45" s="122"/>
      <c r="G45" s="64"/>
      <c r="H45" s="93"/>
      <c r="I45" s="64"/>
      <c r="J45" s="64"/>
      <c r="K45" s="68"/>
      <c r="L45" s="112"/>
      <c r="M45" s="64"/>
      <c r="N45" s="64"/>
      <c r="O45" s="64"/>
      <c r="P45" s="68"/>
      <c r="S45" s="94"/>
    </row>
    <row r="46" spans="1:19" s="58" customFormat="1" ht="17.850000000000001" customHeight="1" x14ac:dyDescent="0.25">
      <c r="A46" s="71">
        <v>14</v>
      </c>
      <c r="B46" s="91" t="s">
        <v>108</v>
      </c>
      <c r="C46" s="170" t="s">
        <v>429</v>
      </c>
      <c r="D46" s="145" t="s">
        <v>430</v>
      </c>
      <c r="E46" s="389">
        <v>11</v>
      </c>
      <c r="F46" s="122"/>
      <c r="G46" s="64"/>
      <c r="H46" s="93"/>
      <c r="I46" s="64"/>
      <c r="J46" s="64"/>
      <c r="K46" s="68"/>
      <c r="L46" s="112"/>
      <c r="M46" s="64"/>
      <c r="N46" s="64"/>
      <c r="O46" s="64"/>
      <c r="P46" s="68"/>
      <c r="S46" s="94"/>
    </row>
    <row r="47" spans="1:19" s="58" customFormat="1" ht="17.850000000000001" customHeight="1" x14ac:dyDescent="0.25">
      <c r="A47" s="71">
        <v>15</v>
      </c>
      <c r="B47" s="91" t="s">
        <v>108</v>
      </c>
      <c r="C47" s="170" t="s">
        <v>431</v>
      </c>
      <c r="D47" s="145" t="s">
        <v>430</v>
      </c>
      <c r="E47" s="389">
        <v>33</v>
      </c>
      <c r="F47" s="122"/>
      <c r="G47" s="64"/>
      <c r="H47" s="93"/>
      <c r="I47" s="64"/>
      <c r="J47" s="64"/>
      <c r="K47" s="68"/>
      <c r="L47" s="112"/>
      <c r="M47" s="64"/>
      <c r="N47" s="64"/>
      <c r="O47" s="64"/>
      <c r="P47" s="68"/>
      <c r="S47" s="94"/>
    </row>
    <row r="48" spans="1:19" s="58" customFormat="1" ht="17.850000000000001" customHeight="1" x14ac:dyDescent="0.25">
      <c r="A48" s="71">
        <v>16</v>
      </c>
      <c r="B48" s="91" t="s">
        <v>108</v>
      </c>
      <c r="C48" s="170" t="s">
        <v>432</v>
      </c>
      <c r="D48" s="145" t="s">
        <v>162</v>
      </c>
      <c r="E48" s="389">
        <v>1</v>
      </c>
      <c r="F48" s="122"/>
      <c r="G48" s="64"/>
      <c r="H48" s="93"/>
      <c r="I48" s="74"/>
      <c r="J48" s="64"/>
      <c r="K48" s="68"/>
      <c r="L48" s="112"/>
      <c r="M48" s="64"/>
      <c r="N48" s="64"/>
      <c r="O48" s="64"/>
      <c r="P48" s="68"/>
      <c r="S48" s="94"/>
    </row>
    <row r="49" spans="1:19" s="58" customFormat="1" ht="35.85" customHeight="1" x14ac:dyDescent="0.25">
      <c r="A49" s="71"/>
      <c r="B49" s="91"/>
      <c r="C49" s="390" t="s">
        <v>433</v>
      </c>
      <c r="D49" s="145"/>
      <c r="E49" s="389"/>
      <c r="F49" s="122"/>
      <c r="G49" s="64"/>
      <c r="H49" s="93"/>
      <c r="I49" s="74"/>
      <c r="J49" s="64"/>
      <c r="K49" s="68"/>
      <c r="L49" s="112"/>
      <c r="M49" s="64"/>
      <c r="N49" s="64"/>
      <c r="O49" s="64"/>
      <c r="P49" s="68"/>
      <c r="S49" s="94"/>
    </row>
    <row r="50" spans="1:19" s="58" customFormat="1" ht="59.45" customHeight="1" x14ac:dyDescent="0.25">
      <c r="A50" s="71">
        <v>1</v>
      </c>
      <c r="B50" s="91" t="s">
        <v>108</v>
      </c>
      <c r="C50" s="170" t="s">
        <v>434</v>
      </c>
      <c r="D50" s="145" t="s">
        <v>110</v>
      </c>
      <c r="E50" s="389">
        <v>47</v>
      </c>
      <c r="F50" s="122"/>
      <c r="G50" s="64"/>
      <c r="H50" s="93"/>
      <c r="I50" s="74"/>
      <c r="J50" s="64"/>
      <c r="K50" s="68"/>
      <c r="L50" s="112"/>
      <c r="M50" s="64"/>
      <c r="N50" s="64"/>
      <c r="O50" s="64"/>
      <c r="P50" s="68"/>
      <c r="S50" s="94"/>
    </row>
    <row r="51" spans="1:19" s="58" customFormat="1" ht="59.45" customHeight="1" x14ac:dyDescent="0.25">
      <c r="A51" s="71">
        <v>2</v>
      </c>
      <c r="B51" s="91" t="s">
        <v>108</v>
      </c>
      <c r="C51" s="170" t="s">
        <v>435</v>
      </c>
      <c r="D51" s="145" t="s">
        <v>110</v>
      </c>
      <c r="E51" s="389">
        <v>7</v>
      </c>
      <c r="F51" s="122"/>
      <c r="G51" s="64"/>
      <c r="H51" s="93"/>
      <c r="I51" s="74"/>
      <c r="J51" s="64"/>
      <c r="K51" s="68"/>
      <c r="L51" s="112"/>
      <c r="M51" s="64"/>
      <c r="N51" s="64"/>
      <c r="O51" s="64"/>
      <c r="P51" s="68"/>
      <c r="S51" s="94"/>
    </row>
    <row r="52" spans="1:19" s="58" customFormat="1" ht="59.45" customHeight="1" x14ac:dyDescent="0.25">
      <c r="A52" s="71">
        <v>3</v>
      </c>
      <c r="B52" s="91" t="s">
        <v>108</v>
      </c>
      <c r="C52" s="170" t="s">
        <v>436</v>
      </c>
      <c r="D52" s="145" t="s">
        <v>110</v>
      </c>
      <c r="E52" s="389">
        <v>29</v>
      </c>
      <c r="F52" s="122"/>
      <c r="G52" s="64"/>
      <c r="H52" s="93"/>
      <c r="I52" s="74"/>
      <c r="J52" s="64"/>
      <c r="K52" s="68"/>
      <c r="L52" s="112"/>
      <c r="M52" s="64"/>
      <c r="N52" s="64"/>
      <c r="O52" s="64"/>
      <c r="P52" s="68"/>
      <c r="S52" s="94"/>
    </row>
    <row r="53" spans="1:19" s="58" customFormat="1" ht="18.600000000000001" customHeight="1" x14ac:dyDescent="0.25">
      <c r="A53" s="71">
        <v>4</v>
      </c>
      <c r="B53" s="91" t="s">
        <v>108</v>
      </c>
      <c r="C53" s="170" t="s">
        <v>420</v>
      </c>
      <c r="D53" s="145" t="s">
        <v>114</v>
      </c>
      <c r="E53" s="389">
        <v>9</v>
      </c>
      <c r="F53" s="122"/>
      <c r="G53" s="64"/>
      <c r="H53" s="93"/>
      <c r="I53" s="74"/>
      <c r="J53" s="64"/>
      <c r="K53" s="68"/>
      <c r="L53" s="112"/>
      <c r="M53" s="64"/>
      <c r="N53" s="64"/>
      <c r="O53" s="64"/>
      <c r="P53" s="68"/>
      <c r="S53" s="94"/>
    </row>
    <row r="54" spans="1:19" s="58" customFormat="1" ht="18.600000000000001" customHeight="1" x14ac:dyDescent="0.25">
      <c r="A54" s="71">
        <v>5</v>
      </c>
      <c r="B54" s="91" t="s">
        <v>108</v>
      </c>
      <c r="C54" s="170" t="s">
        <v>421</v>
      </c>
      <c r="D54" s="145" t="s">
        <v>114</v>
      </c>
      <c r="E54" s="389">
        <v>9</v>
      </c>
      <c r="F54" s="122"/>
      <c r="G54" s="64"/>
      <c r="H54" s="93"/>
      <c r="I54" s="74"/>
      <c r="J54" s="64"/>
      <c r="K54" s="68"/>
      <c r="L54" s="112"/>
      <c r="M54" s="64"/>
      <c r="N54" s="64"/>
      <c r="O54" s="64"/>
      <c r="P54" s="68"/>
      <c r="S54" s="94"/>
    </row>
    <row r="55" spans="1:19" s="58" customFormat="1" ht="18.600000000000001" customHeight="1" x14ac:dyDescent="0.25">
      <c r="A55" s="71">
        <v>6</v>
      </c>
      <c r="B55" s="91" t="s">
        <v>108</v>
      </c>
      <c r="C55" s="170" t="s">
        <v>422</v>
      </c>
      <c r="D55" s="145" t="s">
        <v>114</v>
      </c>
      <c r="E55" s="389">
        <v>5</v>
      </c>
      <c r="F55" s="122"/>
      <c r="G55" s="64"/>
      <c r="H55" s="93"/>
      <c r="I55" s="74"/>
      <c r="J55" s="64"/>
      <c r="K55" s="68"/>
      <c r="L55" s="112"/>
      <c r="M55" s="64"/>
      <c r="N55" s="64"/>
      <c r="O55" s="64"/>
      <c r="P55" s="68"/>
      <c r="S55" s="94"/>
    </row>
    <row r="56" spans="1:19" s="58" customFormat="1" ht="18.600000000000001" customHeight="1" x14ac:dyDescent="0.25">
      <c r="A56" s="71">
        <v>7</v>
      </c>
      <c r="B56" s="91" t="s">
        <v>108</v>
      </c>
      <c r="C56" s="170" t="s">
        <v>437</v>
      </c>
      <c r="D56" s="145" t="s">
        <v>114</v>
      </c>
      <c r="E56" s="389">
        <v>2</v>
      </c>
      <c r="F56" s="122"/>
      <c r="G56" s="64"/>
      <c r="H56" s="93"/>
      <c r="I56" s="74"/>
      <c r="J56" s="64"/>
      <c r="K56" s="68"/>
      <c r="L56" s="112"/>
      <c r="M56" s="64"/>
      <c r="N56" s="64"/>
      <c r="O56" s="64"/>
      <c r="P56" s="68"/>
      <c r="S56" s="94"/>
    </row>
    <row r="57" spans="1:19" s="58" customFormat="1" ht="28.15" customHeight="1" x14ac:dyDescent="0.25">
      <c r="A57" s="71">
        <v>8</v>
      </c>
      <c r="B57" s="91" t="s">
        <v>108</v>
      </c>
      <c r="C57" s="170" t="s">
        <v>438</v>
      </c>
      <c r="D57" s="145" t="s">
        <v>114</v>
      </c>
      <c r="E57" s="389">
        <v>1</v>
      </c>
      <c r="F57" s="122"/>
      <c r="G57" s="64"/>
      <c r="H57" s="93"/>
      <c r="I57" s="74"/>
      <c r="J57" s="64"/>
      <c r="K57" s="68"/>
      <c r="L57" s="112"/>
      <c r="M57" s="64"/>
      <c r="N57" s="64"/>
      <c r="O57" s="64"/>
      <c r="P57" s="68"/>
      <c r="S57" s="94"/>
    </row>
    <row r="58" spans="1:19" s="58" customFormat="1" ht="30" customHeight="1" x14ac:dyDescent="0.25">
      <c r="A58" s="71">
        <v>9</v>
      </c>
      <c r="B58" s="91" t="s">
        <v>108</v>
      </c>
      <c r="C58" s="170" t="s">
        <v>425</v>
      </c>
      <c r="D58" s="145" t="s">
        <v>426</v>
      </c>
      <c r="E58" s="389">
        <v>1</v>
      </c>
      <c r="F58" s="122"/>
      <c r="G58" s="64"/>
      <c r="H58" s="93"/>
      <c r="I58" s="74"/>
      <c r="J58" s="64"/>
      <c r="K58" s="68"/>
      <c r="L58" s="112"/>
      <c r="M58" s="64"/>
      <c r="N58" s="64"/>
      <c r="O58" s="64"/>
      <c r="P58" s="68"/>
      <c r="S58" s="94"/>
    </row>
    <row r="59" spans="1:19" s="58" customFormat="1" ht="20.100000000000001" customHeight="1" x14ac:dyDescent="0.25">
      <c r="A59" s="71">
        <v>10</v>
      </c>
      <c r="B59" s="91" t="s">
        <v>108</v>
      </c>
      <c r="C59" s="170" t="s">
        <v>427</v>
      </c>
      <c r="D59" s="145" t="s">
        <v>112</v>
      </c>
      <c r="E59" s="389">
        <v>1</v>
      </c>
      <c r="F59" s="122"/>
      <c r="G59" s="64"/>
      <c r="H59" s="93"/>
      <c r="I59" s="74"/>
      <c r="J59" s="64"/>
      <c r="K59" s="68"/>
      <c r="L59" s="112"/>
      <c r="M59" s="64"/>
      <c r="N59" s="64"/>
      <c r="O59" s="64"/>
      <c r="P59" s="68"/>
      <c r="S59" s="94"/>
    </row>
    <row r="60" spans="1:19" s="58" customFormat="1" ht="20.100000000000001" customHeight="1" x14ac:dyDescent="0.25">
      <c r="A60" s="71">
        <v>11</v>
      </c>
      <c r="B60" s="91" t="s">
        <v>108</v>
      </c>
      <c r="C60" s="170" t="s">
        <v>428</v>
      </c>
      <c r="D60" s="145" t="s">
        <v>112</v>
      </c>
      <c r="E60" s="389">
        <v>1</v>
      </c>
      <c r="F60" s="122"/>
      <c r="G60" s="64"/>
      <c r="H60" s="93"/>
      <c r="I60" s="74"/>
      <c r="J60" s="64"/>
      <c r="K60" s="68"/>
      <c r="L60" s="112"/>
      <c r="M60" s="64"/>
      <c r="N60" s="64"/>
      <c r="O60" s="64"/>
      <c r="P60" s="68"/>
      <c r="S60" s="94"/>
    </row>
    <row r="61" spans="1:19" s="58" customFormat="1" ht="20.100000000000001" customHeight="1" x14ac:dyDescent="0.25">
      <c r="A61" s="71">
        <v>12</v>
      </c>
      <c r="B61" s="91" t="s">
        <v>108</v>
      </c>
      <c r="C61" s="170" t="s">
        <v>429</v>
      </c>
      <c r="D61" s="145" t="s">
        <v>430</v>
      </c>
      <c r="E61" s="389">
        <v>12</v>
      </c>
      <c r="F61" s="122"/>
      <c r="G61" s="64"/>
      <c r="H61" s="93"/>
      <c r="I61" s="74"/>
      <c r="J61" s="64"/>
      <c r="K61" s="68"/>
      <c r="L61" s="112"/>
      <c r="M61" s="64"/>
      <c r="N61" s="64"/>
      <c r="O61" s="64"/>
      <c r="P61" s="68"/>
      <c r="S61" s="94"/>
    </row>
    <row r="62" spans="1:19" s="58" customFormat="1" ht="20.100000000000001" customHeight="1" x14ac:dyDescent="0.25">
      <c r="A62" s="71">
        <v>13</v>
      </c>
      <c r="B62" s="91" t="s">
        <v>108</v>
      </c>
      <c r="C62" s="170" t="s">
        <v>431</v>
      </c>
      <c r="D62" s="145" t="s">
        <v>430</v>
      </c>
      <c r="E62" s="389">
        <v>34</v>
      </c>
      <c r="F62" s="122"/>
      <c r="G62" s="64"/>
      <c r="H62" s="93"/>
      <c r="I62" s="74"/>
      <c r="J62" s="64"/>
      <c r="K62" s="68"/>
      <c r="L62" s="112"/>
      <c r="M62" s="64"/>
      <c r="N62" s="64"/>
      <c r="O62" s="64"/>
      <c r="P62" s="68"/>
      <c r="S62" s="94"/>
    </row>
    <row r="63" spans="1:19" s="58" customFormat="1" ht="20.100000000000001" customHeight="1" x14ac:dyDescent="0.25">
      <c r="A63" s="71"/>
      <c r="B63" s="91"/>
      <c r="C63" s="390" t="s">
        <v>439</v>
      </c>
      <c r="D63" s="145"/>
      <c r="E63" s="389"/>
      <c r="F63" s="122"/>
      <c r="G63" s="64"/>
      <c r="H63" s="93"/>
      <c r="I63" s="74"/>
      <c r="J63" s="64"/>
      <c r="K63" s="68"/>
      <c r="L63" s="112"/>
      <c r="M63" s="64"/>
      <c r="N63" s="64"/>
      <c r="O63" s="64"/>
      <c r="P63" s="68"/>
      <c r="S63" s="94"/>
    </row>
    <row r="64" spans="1:19" s="58" customFormat="1" ht="20.100000000000001" customHeight="1" x14ac:dyDescent="0.25">
      <c r="A64" s="71"/>
      <c r="B64" s="91"/>
      <c r="C64" s="390" t="s">
        <v>440</v>
      </c>
      <c r="D64" s="145"/>
      <c r="E64" s="389"/>
      <c r="F64" s="122"/>
      <c r="G64" s="64"/>
      <c r="H64" s="93"/>
      <c r="I64" s="74"/>
      <c r="J64" s="64"/>
      <c r="K64" s="68"/>
      <c r="L64" s="112"/>
      <c r="M64" s="64"/>
      <c r="N64" s="64"/>
      <c r="O64" s="64"/>
      <c r="P64" s="68"/>
      <c r="S64" s="94"/>
    </row>
    <row r="65" spans="1:19" s="58" customFormat="1" ht="37.9" customHeight="1" x14ac:dyDescent="0.25">
      <c r="A65" s="71">
        <v>1</v>
      </c>
      <c r="B65" s="91" t="s">
        <v>108</v>
      </c>
      <c r="C65" s="170" t="s">
        <v>441</v>
      </c>
      <c r="D65" s="145" t="s">
        <v>110</v>
      </c>
      <c r="E65" s="389">
        <v>40</v>
      </c>
      <c r="F65" s="122"/>
      <c r="G65" s="64"/>
      <c r="H65" s="93"/>
      <c r="I65" s="74"/>
      <c r="J65" s="64"/>
      <c r="K65" s="68"/>
      <c r="L65" s="112"/>
      <c r="M65" s="64"/>
      <c r="N65" s="64"/>
      <c r="O65" s="64"/>
      <c r="P65" s="68"/>
      <c r="S65" s="94"/>
    </row>
    <row r="66" spans="1:19" s="58" customFormat="1" ht="30" customHeight="1" x14ac:dyDescent="0.25">
      <c r="A66" s="71">
        <v>2</v>
      </c>
      <c r="B66" s="91" t="s">
        <v>108</v>
      </c>
      <c r="C66" s="170" t="s">
        <v>442</v>
      </c>
      <c r="D66" s="145" t="s">
        <v>110</v>
      </c>
      <c r="E66" s="389">
        <v>3</v>
      </c>
      <c r="F66" s="122"/>
      <c r="G66" s="64"/>
      <c r="H66" s="93"/>
      <c r="I66" s="74"/>
      <c r="J66" s="64"/>
      <c r="K66" s="68"/>
      <c r="L66" s="112"/>
      <c r="M66" s="64"/>
      <c r="N66" s="64"/>
      <c r="O66" s="64"/>
      <c r="P66" s="68"/>
      <c r="S66" s="94"/>
    </row>
    <row r="67" spans="1:19" s="58" customFormat="1" ht="30" customHeight="1" x14ac:dyDescent="0.25">
      <c r="A67" s="71">
        <v>3</v>
      </c>
      <c r="B67" s="91" t="s">
        <v>108</v>
      </c>
      <c r="C67" s="170" t="s">
        <v>443</v>
      </c>
      <c r="D67" s="145" t="s">
        <v>110</v>
      </c>
      <c r="E67" s="389">
        <v>28</v>
      </c>
      <c r="F67" s="122"/>
      <c r="G67" s="64"/>
      <c r="H67" s="93"/>
      <c r="I67" s="74"/>
      <c r="J67" s="64"/>
      <c r="K67" s="68"/>
      <c r="L67" s="112"/>
      <c r="M67" s="64"/>
      <c r="N67" s="64"/>
      <c r="O67" s="64"/>
      <c r="P67" s="68"/>
      <c r="S67" s="94"/>
    </row>
    <row r="68" spans="1:19" s="58" customFormat="1" ht="20.100000000000001" customHeight="1" x14ac:dyDescent="0.25">
      <c r="A68" s="71">
        <v>4</v>
      </c>
      <c r="B68" s="91" t="s">
        <v>108</v>
      </c>
      <c r="C68" s="170" t="s">
        <v>444</v>
      </c>
      <c r="D68" s="145" t="s">
        <v>114</v>
      </c>
      <c r="E68" s="389">
        <v>27</v>
      </c>
      <c r="F68" s="122"/>
      <c r="G68" s="64"/>
      <c r="H68" s="93"/>
      <c r="I68" s="74"/>
      <c r="J68" s="64"/>
      <c r="K68" s="68"/>
      <c r="L68" s="112"/>
      <c r="M68" s="64"/>
      <c r="N68" s="64"/>
      <c r="O68" s="64"/>
      <c r="P68" s="68"/>
      <c r="S68" s="94"/>
    </row>
    <row r="69" spans="1:19" s="58" customFormat="1" ht="20.100000000000001" customHeight="1" x14ac:dyDescent="0.25">
      <c r="A69" s="71">
        <v>5</v>
      </c>
      <c r="B69" s="91" t="s">
        <v>108</v>
      </c>
      <c r="C69" s="170" t="s">
        <v>445</v>
      </c>
      <c r="D69" s="145" t="s">
        <v>114</v>
      </c>
      <c r="E69" s="389">
        <v>1</v>
      </c>
      <c r="F69" s="122"/>
      <c r="G69" s="64"/>
      <c r="H69" s="93"/>
      <c r="I69" s="74"/>
      <c r="J69" s="64"/>
      <c r="K69" s="68"/>
      <c r="L69" s="112"/>
      <c r="M69" s="64"/>
      <c r="N69" s="64"/>
      <c r="O69" s="64"/>
      <c r="P69" s="68"/>
      <c r="S69" s="94"/>
    </row>
    <row r="70" spans="1:19" s="58" customFormat="1" ht="20.100000000000001" customHeight="1" x14ac:dyDescent="0.25">
      <c r="A70" s="71">
        <v>6</v>
      </c>
      <c r="B70" s="91" t="s">
        <v>108</v>
      </c>
      <c r="C70" s="170" t="s">
        <v>446</v>
      </c>
      <c r="D70" s="145" t="s">
        <v>114</v>
      </c>
      <c r="E70" s="389">
        <v>33</v>
      </c>
      <c r="F70" s="122"/>
      <c r="G70" s="64"/>
      <c r="H70" s="93"/>
      <c r="I70" s="74"/>
      <c r="J70" s="64"/>
      <c r="K70" s="68"/>
      <c r="L70" s="112"/>
      <c r="M70" s="64"/>
      <c r="N70" s="64"/>
      <c r="O70" s="64"/>
      <c r="P70" s="68"/>
      <c r="S70" s="94"/>
    </row>
    <row r="71" spans="1:19" s="58" customFormat="1" ht="30" customHeight="1" x14ac:dyDescent="0.25">
      <c r="A71" s="71">
        <v>7</v>
      </c>
      <c r="B71" s="91" t="s">
        <v>108</v>
      </c>
      <c r="C71" s="170" t="s">
        <v>447</v>
      </c>
      <c r="D71" s="145" t="s">
        <v>114</v>
      </c>
      <c r="E71" s="389">
        <v>10</v>
      </c>
      <c r="F71" s="122"/>
      <c r="G71" s="64"/>
      <c r="H71" s="93"/>
      <c r="I71" s="74"/>
      <c r="J71" s="64"/>
      <c r="K71" s="68"/>
      <c r="L71" s="112"/>
      <c r="M71" s="64"/>
      <c r="N71" s="64"/>
      <c r="O71" s="64"/>
      <c r="P71" s="68"/>
      <c r="S71" s="94"/>
    </row>
    <row r="72" spans="1:19" s="58" customFormat="1" ht="30" customHeight="1" x14ac:dyDescent="0.25">
      <c r="A72" s="71">
        <v>8</v>
      </c>
      <c r="B72" s="91" t="s">
        <v>108</v>
      </c>
      <c r="C72" s="170" t="s">
        <v>448</v>
      </c>
      <c r="D72" s="145" t="s">
        <v>114</v>
      </c>
      <c r="E72" s="389">
        <v>1</v>
      </c>
      <c r="F72" s="122"/>
      <c r="G72" s="64"/>
      <c r="H72" s="93"/>
      <c r="I72" s="74"/>
      <c r="J72" s="64"/>
      <c r="K72" s="68"/>
      <c r="L72" s="112"/>
      <c r="M72" s="64"/>
      <c r="N72" s="64"/>
      <c r="O72" s="64"/>
      <c r="P72" s="68"/>
      <c r="S72" s="94"/>
    </row>
    <row r="73" spans="1:19" s="58" customFormat="1" ht="30" customHeight="1" x14ac:dyDescent="0.25">
      <c r="A73" s="71">
        <v>9</v>
      </c>
      <c r="B73" s="91" t="s">
        <v>108</v>
      </c>
      <c r="C73" s="170" t="s">
        <v>449</v>
      </c>
      <c r="D73" s="145" t="s">
        <v>114</v>
      </c>
      <c r="E73" s="389">
        <v>4</v>
      </c>
      <c r="F73" s="122"/>
      <c r="G73" s="64"/>
      <c r="H73" s="93"/>
      <c r="I73" s="74"/>
      <c r="J73" s="64"/>
      <c r="K73" s="68"/>
      <c r="L73" s="112"/>
      <c r="M73" s="64"/>
      <c r="N73" s="64"/>
      <c r="O73" s="64"/>
      <c r="P73" s="68"/>
      <c r="S73" s="94"/>
    </row>
    <row r="74" spans="1:19" s="58" customFormat="1" ht="20.100000000000001" customHeight="1" x14ac:dyDescent="0.25">
      <c r="A74" s="71">
        <v>10</v>
      </c>
      <c r="B74" s="91" t="s">
        <v>108</v>
      </c>
      <c r="C74" s="170" t="s">
        <v>450</v>
      </c>
      <c r="D74" s="145" t="s">
        <v>114</v>
      </c>
      <c r="E74" s="389">
        <v>2</v>
      </c>
      <c r="F74" s="122"/>
      <c r="G74" s="64"/>
      <c r="H74" s="93"/>
      <c r="I74" s="74"/>
      <c r="J74" s="64"/>
      <c r="K74" s="68"/>
      <c r="L74" s="112"/>
      <c r="M74" s="64"/>
      <c r="N74" s="64"/>
      <c r="O74" s="64"/>
      <c r="P74" s="68"/>
      <c r="S74" s="94"/>
    </row>
    <row r="75" spans="1:19" s="58" customFormat="1" ht="20.100000000000001" customHeight="1" x14ac:dyDescent="0.25">
      <c r="A75" s="71">
        <v>11</v>
      </c>
      <c r="B75" s="91" t="s">
        <v>108</v>
      </c>
      <c r="C75" s="170" t="s">
        <v>451</v>
      </c>
      <c r="D75" s="145" t="s">
        <v>114</v>
      </c>
      <c r="E75" s="389">
        <v>3</v>
      </c>
      <c r="F75" s="122"/>
      <c r="G75" s="64"/>
      <c r="H75" s="93"/>
      <c r="I75" s="74"/>
      <c r="J75" s="64"/>
      <c r="K75" s="68"/>
      <c r="L75" s="112"/>
      <c r="M75" s="64"/>
      <c r="N75" s="64"/>
      <c r="O75" s="64"/>
      <c r="P75" s="68"/>
      <c r="S75" s="94"/>
    </row>
    <row r="76" spans="1:19" s="58" customFormat="1" ht="20.100000000000001" customHeight="1" x14ac:dyDescent="0.25">
      <c r="A76" s="71">
        <v>12</v>
      </c>
      <c r="B76" s="91" t="s">
        <v>108</v>
      </c>
      <c r="C76" s="170" t="s">
        <v>452</v>
      </c>
      <c r="D76" s="145" t="s">
        <v>114</v>
      </c>
      <c r="E76" s="389">
        <v>3</v>
      </c>
      <c r="F76" s="122"/>
      <c r="G76" s="64"/>
      <c r="H76" s="93"/>
      <c r="I76" s="74"/>
      <c r="J76" s="64"/>
      <c r="K76" s="68"/>
      <c r="L76" s="112"/>
      <c r="M76" s="64"/>
      <c r="N76" s="64"/>
      <c r="O76" s="64"/>
      <c r="P76" s="68"/>
      <c r="S76" s="94"/>
    </row>
    <row r="77" spans="1:19" s="58" customFormat="1" ht="20.100000000000001" customHeight="1" x14ac:dyDescent="0.25">
      <c r="A77" s="71">
        <v>13</v>
      </c>
      <c r="B77" s="91" t="s">
        <v>108</v>
      </c>
      <c r="C77" s="170" t="s">
        <v>453</v>
      </c>
      <c r="D77" s="145" t="s">
        <v>114</v>
      </c>
      <c r="E77" s="389">
        <v>2</v>
      </c>
      <c r="F77" s="122"/>
      <c r="G77" s="64"/>
      <c r="H77" s="93"/>
      <c r="I77" s="74"/>
      <c r="J77" s="64"/>
      <c r="K77" s="68"/>
      <c r="L77" s="112"/>
      <c r="M77" s="64"/>
      <c r="N77" s="64"/>
      <c r="O77" s="64"/>
      <c r="P77" s="68"/>
      <c r="S77" s="94"/>
    </row>
    <row r="78" spans="1:19" s="58" customFormat="1" ht="20.100000000000001" customHeight="1" x14ac:dyDescent="0.25">
      <c r="A78" s="71">
        <v>14</v>
      </c>
      <c r="B78" s="91" t="s">
        <v>108</v>
      </c>
      <c r="C78" s="170" t="s">
        <v>454</v>
      </c>
      <c r="D78" s="145" t="s">
        <v>112</v>
      </c>
      <c r="E78" s="389">
        <v>1</v>
      </c>
      <c r="F78" s="122"/>
      <c r="G78" s="64"/>
      <c r="H78" s="93"/>
      <c r="I78" s="74"/>
      <c r="J78" s="64"/>
      <c r="K78" s="68"/>
      <c r="L78" s="112"/>
      <c r="M78" s="64"/>
      <c r="N78" s="64"/>
      <c r="O78" s="64"/>
      <c r="P78" s="68"/>
      <c r="S78" s="94"/>
    </row>
    <row r="79" spans="1:19" s="58" customFormat="1" ht="24.6" customHeight="1" x14ac:dyDescent="0.25">
      <c r="A79" s="71">
        <v>15</v>
      </c>
      <c r="B79" s="91" t="s">
        <v>108</v>
      </c>
      <c r="C79" s="170" t="s">
        <v>455</v>
      </c>
      <c r="D79" s="145" t="s">
        <v>112</v>
      </c>
      <c r="E79" s="389">
        <v>2</v>
      </c>
      <c r="F79" s="122"/>
      <c r="G79" s="64"/>
      <c r="H79" s="93"/>
      <c r="I79" s="74"/>
      <c r="J79" s="64"/>
      <c r="K79" s="68"/>
      <c r="L79" s="112"/>
      <c r="M79" s="64"/>
      <c r="N79" s="64"/>
      <c r="O79" s="64"/>
      <c r="P79" s="68"/>
      <c r="S79" s="94"/>
    </row>
    <row r="80" spans="1:19" s="58" customFormat="1" ht="20.100000000000001" customHeight="1" x14ac:dyDescent="0.25">
      <c r="A80" s="71">
        <v>16</v>
      </c>
      <c r="B80" s="91" t="s">
        <v>108</v>
      </c>
      <c r="C80" s="170" t="s">
        <v>428</v>
      </c>
      <c r="D80" s="145" t="s">
        <v>112</v>
      </c>
      <c r="E80" s="389">
        <v>1</v>
      </c>
      <c r="F80" s="122"/>
      <c r="G80" s="64"/>
      <c r="H80" s="93"/>
      <c r="I80" s="74"/>
      <c r="J80" s="64"/>
      <c r="K80" s="68"/>
      <c r="L80" s="112"/>
      <c r="M80" s="64"/>
      <c r="N80" s="64"/>
      <c r="O80" s="64"/>
      <c r="P80" s="68"/>
      <c r="S80" s="94"/>
    </row>
    <row r="81" spans="1:19" s="58" customFormat="1" ht="20.100000000000001" customHeight="1" x14ac:dyDescent="0.25">
      <c r="A81" s="71">
        <v>17</v>
      </c>
      <c r="B81" s="91" t="s">
        <v>108</v>
      </c>
      <c r="C81" s="170" t="s">
        <v>429</v>
      </c>
      <c r="D81" s="145" t="s">
        <v>112</v>
      </c>
      <c r="E81" s="389">
        <v>1</v>
      </c>
      <c r="F81" s="122"/>
      <c r="G81" s="64"/>
      <c r="H81" s="93"/>
      <c r="I81" s="74"/>
      <c r="J81" s="64"/>
      <c r="K81" s="68"/>
      <c r="L81" s="112"/>
      <c r="M81" s="64"/>
      <c r="N81" s="64"/>
      <c r="O81" s="64"/>
      <c r="P81" s="68"/>
      <c r="S81" s="94"/>
    </row>
    <row r="82" spans="1:19" s="58" customFormat="1" ht="20.100000000000001" customHeight="1" x14ac:dyDescent="0.25">
      <c r="A82" s="71">
        <v>18</v>
      </c>
      <c r="B82" s="91" t="s">
        <v>108</v>
      </c>
      <c r="C82" s="170" t="s">
        <v>431</v>
      </c>
      <c r="D82" s="145" t="s">
        <v>112</v>
      </c>
      <c r="E82" s="389">
        <v>1</v>
      </c>
      <c r="F82" s="122"/>
      <c r="G82" s="64"/>
      <c r="H82" s="93"/>
      <c r="I82" s="74"/>
      <c r="J82" s="64"/>
      <c r="K82" s="68"/>
      <c r="L82" s="112"/>
      <c r="M82" s="64"/>
      <c r="N82" s="64"/>
      <c r="O82" s="64"/>
      <c r="P82" s="68"/>
      <c r="S82" s="94"/>
    </row>
    <row r="83" spans="1:19" s="58" customFormat="1" ht="29.85" customHeight="1" x14ac:dyDescent="0.25">
      <c r="A83" s="71">
        <v>19</v>
      </c>
      <c r="B83" s="91" t="s">
        <v>108</v>
      </c>
      <c r="C83" s="170" t="s">
        <v>456</v>
      </c>
      <c r="D83" s="145" t="s">
        <v>162</v>
      </c>
      <c r="E83" s="389">
        <v>1</v>
      </c>
      <c r="F83" s="122"/>
      <c r="G83" s="64"/>
      <c r="H83" s="93"/>
      <c r="I83" s="74"/>
      <c r="J83" s="64"/>
      <c r="K83" s="68"/>
      <c r="L83" s="112"/>
      <c r="M83" s="64"/>
      <c r="N83" s="64"/>
      <c r="O83" s="64"/>
      <c r="P83" s="68"/>
      <c r="S83" s="94"/>
    </row>
    <row r="84" spans="1:19" s="58" customFormat="1" ht="26.45" customHeight="1" x14ac:dyDescent="0.25">
      <c r="A84" s="71"/>
      <c r="B84" s="91"/>
      <c r="C84" s="390" t="s">
        <v>457</v>
      </c>
      <c r="D84" s="145"/>
      <c r="E84" s="389"/>
      <c r="F84" s="122"/>
      <c r="G84" s="64"/>
      <c r="H84" s="93"/>
      <c r="I84" s="74"/>
      <c r="J84" s="64"/>
      <c r="K84" s="68"/>
      <c r="L84" s="112"/>
      <c r="M84" s="64"/>
      <c r="N84" s="64"/>
      <c r="O84" s="64"/>
      <c r="P84" s="68"/>
      <c r="S84" s="94"/>
    </row>
    <row r="85" spans="1:19" s="58" customFormat="1" ht="37.35" customHeight="1" x14ac:dyDescent="0.25">
      <c r="A85" s="71">
        <v>1</v>
      </c>
      <c r="B85" s="91" t="s">
        <v>108</v>
      </c>
      <c r="C85" s="170" t="s">
        <v>458</v>
      </c>
      <c r="D85" s="145" t="s">
        <v>110</v>
      </c>
      <c r="E85" s="389">
        <v>15</v>
      </c>
      <c r="F85" s="122"/>
      <c r="G85" s="64"/>
      <c r="H85" s="93"/>
      <c r="I85" s="74"/>
      <c r="J85" s="64"/>
      <c r="K85" s="68"/>
      <c r="L85" s="112"/>
      <c r="M85" s="64"/>
      <c r="N85" s="64"/>
      <c r="O85" s="64"/>
      <c r="P85" s="68"/>
      <c r="S85" s="94"/>
    </row>
    <row r="86" spans="1:19" s="58" customFormat="1" ht="28.15" customHeight="1" x14ac:dyDescent="0.25">
      <c r="A86" s="71">
        <v>2</v>
      </c>
      <c r="B86" s="91" t="s">
        <v>108</v>
      </c>
      <c r="C86" s="170" t="s">
        <v>459</v>
      </c>
      <c r="D86" s="145" t="s">
        <v>114</v>
      </c>
      <c r="E86" s="389">
        <v>1</v>
      </c>
      <c r="F86" s="122"/>
      <c r="G86" s="64"/>
      <c r="H86" s="93"/>
      <c r="I86" s="74"/>
      <c r="J86" s="64"/>
      <c r="K86" s="68"/>
      <c r="L86" s="112"/>
      <c r="M86" s="64"/>
      <c r="N86" s="64"/>
      <c r="O86" s="64"/>
      <c r="P86" s="68"/>
      <c r="S86" s="94"/>
    </row>
    <row r="87" spans="1:19" s="58" customFormat="1" ht="17.100000000000001" customHeight="1" x14ac:dyDescent="0.25">
      <c r="A87" s="71">
        <v>3</v>
      </c>
      <c r="B87" s="91" t="s">
        <v>108</v>
      </c>
      <c r="C87" s="170" t="s">
        <v>460</v>
      </c>
      <c r="D87" s="145" t="s">
        <v>114</v>
      </c>
      <c r="E87" s="389">
        <v>1</v>
      </c>
      <c r="F87" s="122"/>
      <c r="G87" s="64"/>
      <c r="H87" s="93"/>
      <c r="I87" s="74"/>
      <c r="J87" s="64"/>
      <c r="K87" s="68"/>
      <c r="L87" s="112"/>
      <c r="M87" s="64"/>
      <c r="N87" s="64"/>
      <c r="O87" s="64"/>
      <c r="P87" s="68"/>
      <c r="S87" s="94"/>
    </row>
    <row r="88" spans="1:19" s="58" customFormat="1" ht="17.100000000000001" customHeight="1" x14ac:dyDescent="0.25">
      <c r="A88" s="71">
        <v>4</v>
      </c>
      <c r="B88" s="91" t="s">
        <v>108</v>
      </c>
      <c r="C88" s="170" t="s">
        <v>427</v>
      </c>
      <c r="D88" s="145" t="s">
        <v>112</v>
      </c>
      <c r="E88" s="389">
        <v>1</v>
      </c>
      <c r="F88" s="122"/>
      <c r="G88" s="64"/>
      <c r="H88" s="93"/>
      <c r="I88" s="74"/>
      <c r="J88" s="64"/>
      <c r="K88" s="68"/>
      <c r="L88" s="112"/>
      <c r="M88" s="64"/>
      <c r="N88" s="64"/>
      <c r="O88" s="64"/>
      <c r="P88" s="68"/>
      <c r="S88" s="94"/>
    </row>
    <row r="89" spans="1:19" s="58" customFormat="1" ht="17.100000000000001" customHeight="1" x14ac:dyDescent="0.25">
      <c r="A89" s="71">
        <v>5</v>
      </c>
      <c r="B89" s="91" t="s">
        <v>108</v>
      </c>
      <c r="C89" s="170" t="s">
        <v>461</v>
      </c>
      <c r="D89" s="145" t="s">
        <v>112</v>
      </c>
      <c r="E89" s="389">
        <v>1</v>
      </c>
      <c r="F89" s="122"/>
      <c r="G89" s="64"/>
      <c r="H89" s="93"/>
      <c r="I89" s="74"/>
      <c r="J89" s="64"/>
      <c r="K89" s="68"/>
      <c r="L89" s="112"/>
      <c r="M89" s="64"/>
      <c r="N89" s="64"/>
      <c r="O89" s="64"/>
      <c r="P89" s="68"/>
      <c r="S89" s="94"/>
    </row>
    <row r="90" spans="1:19" s="58" customFormat="1" ht="17.100000000000001" customHeight="1" x14ac:dyDescent="0.25">
      <c r="A90" s="71">
        <v>6</v>
      </c>
      <c r="B90" s="91" t="s">
        <v>108</v>
      </c>
      <c r="C90" s="170" t="s">
        <v>428</v>
      </c>
      <c r="D90" s="145" t="s">
        <v>112</v>
      </c>
      <c r="E90" s="389">
        <v>1</v>
      </c>
      <c r="F90" s="122"/>
      <c r="G90" s="64"/>
      <c r="H90" s="93"/>
      <c r="I90" s="74"/>
      <c r="J90" s="64"/>
      <c r="K90" s="68"/>
      <c r="L90" s="112"/>
      <c r="M90" s="64"/>
      <c r="N90" s="64"/>
      <c r="O90" s="64"/>
      <c r="P90" s="68"/>
      <c r="S90" s="94"/>
    </row>
    <row r="91" spans="1:19" s="58" customFormat="1" ht="17.100000000000001" customHeight="1" x14ac:dyDescent="0.25">
      <c r="A91" s="71">
        <v>7</v>
      </c>
      <c r="B91" s="91" t="s">
        <v>108</v>
      </c>
      <c r="C91" s="170" t="s">
        <v>429</v>
      </c>
      <c r="D91" s="145" t="s">
        <v>112</v>
      </c>
      <c r="E91" s="389">
        <v>1</v>
      </c>
      <c r="F91" s="122"/>
      <c r="G91" s="64"/>
      <c r="H91" s="93"/>
      <c r="I91" s="74"/>
      <c r="J91" s="64"/>
      <c r="K91" s="68"/>
      <c r="L91" s="112"/>
      <c r="M91" s="64"/>
      <c r="N91" s="64"/>
      <c r="O91" s="64"/>
      <c r="P91" s="68"/>
      <c r="S91" s="94"/>
    </row>
    <row r="92" spans="1:19" s="58" customFormat="1" ht="17.100000000000001" customHeight="1" x14ac:dyDescent="0.25">
      <c r="A92" s="71">
        <v>8</v>
      </c>
      <c r="B92" s="91" t="s">
        <v>108</v>
      </c>
      <c r="C92" s="170" t="s">
        <v>431</v>
      </c>
      <c r="D92" s="145" t="s">
        <v>112</v>
      </c>
      <c r="E92" s="389">
        <v>1</v>
      </c>
      <c r="F92" s="122"/>
      <c r="G92" s="64"/>
      <c r="H92" s="93"/>
      <c r="I92" s="74"/>
      <c r="J92" s="64"/>
      <c r="K92" s="68"/>
      <c r="L92" s="112"/>
      <c r="M92" s="64"/>
      <c r="N92" s="64"/>
      <c r="O92" s="64"/>
      <c r="P92" s="68"/>
      <c r="S92" s="94"/>
    </row>
    <row r="93" spans="1:19" s="58" customFormat="1" ht="17.100000000000001" customHeight="1" x14ac:dyDescent="0.25">
      <c r="A93" s="71">
        <v>9</v>
      </c>
      <c r="B93" s="91" t="s">
        <v>108</v>
      </c>
      <c r="C93" s="170" t="s">
        <v>462</v>
      </c>
      <c r="D93" s="145" t="s">
        <v>162</v>
      </c>
      <c r="E93" s="389">
        <v>1</v>
      </c>
      <c r="F93" s="122"/>
      <c r="G93" s="64"/>
      <c r="H93" s="93"/>
      <c r="I93" s="74"/>
      <c r="J93" s="64"/>
      <c r="K93" s="68"/>
      <c r="L93" s="112"/>
      <c r="M93" s="64"/>
      <c r="N93" s="64"/>
      <c r="O93" s="64"/>
      <c r="P93" s="68"/>
      <c r="S93" s="94"/>
    </row>
    <row r="94" spans="1:19" ht="19.350000000000001" customHeight="1" x14ac:dyDescent="0.25">
      <c r="A94" s="171"/>
      <c r="B94" s="172"/>
      <c r="C94" s="172"/>
      <c r="D94" s="172"/>
      <c r="E94" s="173"/>
      <c r="F94" s="171"/>
      <c r="G94" s="172"/>
      <c r="H94" s="172"/>
      <c r="I94" s="172"/>
      <c r="J94" s="172"/>
      <c r="K94" s="174"/>
      <c r="L94" s="175"/>
      <c r="M94" s="172"/>
      <c r="N94" s="172"/>
      <c r="O94" s="172"/>
      <c r="P94" s="174"/>
    </row>
    <row r="95" spans="1:19" ht="17.850000000000001" customHeight="1" x14ac:dyDescent="0.25">
      <c r="A95" s="176"/>
      <c r="B95" s="177"/>
      <c r="C95" s="458" t="s">
        <v>136</v>
      </c>
      <c r="D95" s="458"/>
      <c r="E95" s="458"/>
      <c r="F95" s="458"/>
      <c r="G95" s="458"/>
      <c r="H95" s="458"/>
      <c r="I95" s="458"/>
      <c r="J95" s="458"/>
      <c r="K95" s="458"/>
      <c r="L95" s="178">
        <f>SUM(L21:L94)</f>
        <v>0</v>
      </c>
      <c r="M95" s="179">
        <f>SUM(M21:M94)</f>
        <v>0</v>
      </c>
      <c r="N95" s="179">
        <f>SUM(N21:N94)</f>
        <v>0</v>
      </c>
      <c r="O95" s="179">
        <f>SUM(O21:O94)</f>
        <v>0</v>
      </c>
      <c r="P95" s="180">
        <f>SUM(P21:P94)</f>
        <v>0</v>
      </c>
    </row>
    <row r="96" spans="1:19" ht="17.850000000000001" customHeight="1" x14ac:dyDescent="0.25"/>
    <row r="97" spans="2:6" ht="17.850000000000001" customHeight="1" x14ac:dyDescent="0.25">
      <c r="B97" s="149" t="s">
        <v>26</v>
      </c>
      <c r="C97" s="181">
        <f>KOPTAME!C58</f>
        <v>0</v>
      </c>
      <c r="E97" s="152">
        <f>'KOPS 1'!F42</f>
        <v>0</v>
      </c>
    </row>
    <row r="98" spans="2:6" ht="17.850000000000001" customHeight="1" x14ac:dyDescent="0.25">
      <c r="C98" s="153" t="s">
        <v>86</v>
      </c>
      <c r="E98" s="153"/>
    </row>
    <row r="99" spans="2:6" ht="17.850000000000001" customHeight="1" x14ac:dyDescent="0.25">
      <c r="E99" s="153"/>
    </row>
    <row r="100" spans="2:6" ht="17.850000000000001" customHeight="1" x14ac:dyDescent="0.25">
      <c r="B100" s="150"/>
      <c r="C100" s="182"/>
      <c r="D100" s="153"/>
      <c r="E100" s="153"/>
      <c r="F100" s="155"/>
    </row>
    <row r="101" spans="2:6" ht="17.850000000000001" customHeight="1" x14ac:dyDescent="0.25">
      <c r="E101" s="153"/>
    </row>
    <row r="102" spans="2:6" ht="17.850000000000001" customHeight="1" x14ac:dyDescent="0.25">
      <c r="B102" s="149" t="s">
        <v>28</v>
      </c>
      <c r="C102" s="181">
        <f>KOPTAME!C63</f>
        <v>0</v>
      </c>
      <c r="E102" s="152">
        <f>E97</f>
        <v>0</v>
      </c>
    </row>
    <row r="103" spans="2:6" ht="17.850000000000001" customHeight="1" x14ac:dyDescent="0.25">
      <c r="C103" s="153" t="s">
        <v>86</v>
      </c>
    </row>
    <row r="104" spans="2:6" ht="17.850000000000001" customHeight="1" x14ac:dyDescent="0.25"/>
    <row r="105" spans="2:6" ht="17.850000000000001" customHeight="1" x14ac:dyDescent="0.25">
      <c r="C105" s="149">
        <f>KOPTAME!C68</f>
        <v>0</v>
      </c>
    </row>
    <row r="106" spans="2:6" ht="17.850000000000001" customHeight="1" x14ac:dyDescent="0.25"/>
    <row r="107" spans="2:6" ht="17.850000000000001" customHeight="1" x14ac:dyDescent="0.25">
      <c r="C107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95:K95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7" firstPageNumber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A1:AMJ57"/>
  <sheetViews>
    <sheetView view="pageBreakPreview" topLeftCell="A20" zoomScaleNormal="100" workbookViewId="0">
      <selection activeCell="C34" sqref="C34"/>
    </sheetView>
  </sheetViews>
  <sheetFormatPr defaultColWidth="9.140625" defaultRowHeight="15" x14ac:dyDescent="0.25"/>
  <cols>
    <col min="1" max="1" width="9.140625" style="149"/>
    <col min="2" max="2" width="9.28515625" style="149" customWidth="1"/>
    <col min="3" max="3" width="32.85546875" style="149" customWidth="1"/>
    <col min="4" max="4" width="7.28515625" style="149" customWidth="1"/>
    <col min="5" max="5" width="7.140625" style="149" customWidth="1"/>
    <col min="6" max="11" width="7.7109375" style="149" customWidth="1"/>
    <col min="12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x14ac:dyDescent="0.25">
      <c r="E2" s="455" t="s">
        <v>88</v>
      </c>
      <c r="F2" s="455"/>
      <c r="G2" s="455"/>
      <c r="H2" s="455"/>
      <c r="I2" s="151" t="s">
        <v>656</v>
      </c>
    </row>
    <row r="3" spans="1:16" x14ac:dyDescent="0.25">
      <c r="D3" s="456" t="s">
        <v>71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P45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47" t="s">
        <v>92</v>
      </c>
      <c r="B17" s="448" t="s">
        <v>93</v>
      </c>
      <c r="C17" s="449" t="s">
        <v>94</v>
      </c>
      <c r="D17" s="450" t="s">
        <v>95</v>
      </c>
      <c r="E17" s="451" t="s">
        <v>96</v>
      </c>
      <c r="F17" s="444" t="s">
        <v>97</v>
      </c>
      <c r="G17" s="444"/>
      <c r="H17" s="444"/>
      <c r="I17" s="444"/>
      <c r="J17" s="444"/>
      <c r="K17" s="444"/>
      <c r="L17" s="445" t="s">
        <v>98</v>
      </c>
      <c r="M17" s="445"/>
      <c r="N17" s="445"/>
      <c r="O17" s="445"/>
      <c r="P17" s="445"/>
    </row>
    <row r="18" spans="1:19" ht="58.15" customHeight="1" x14ac:dyDescent="0.25">
      <c r="A18" s="447"/>
      <c r="B18" s="448"/>
      <c r="C18" s="449"/>
      <c r="D18" s="450"/>
      <c r="E18" s="451"/>
      <c r="F18" s="156" t="s">
        <v>99</v>
      </c>
      <c r="G18" s="157" t="s">
        <v>100</v>
      </c>
      <c r="H18" s="157" t="s">
        <v>101</v>
      </c>
      <c r="I18" s="157" t="s">
        <v>102</v>
      </c>
      <c r="J18" s="157" t="s">
        <v>103</v>
      </c>
      <c r="K18" s="158" t="s">
        <v>104</v>
      </c>
      <c r="L18" s="159" t="s">
        <v>105</v>
      </c>
      <c r="M18" s="157" t="s">
        <v>101</v>
      </c>
      <c r="N18" s="157" t="s">
        <v>102</v>
      </c>
      <c r="O18" s="157" t="s">
        <v>103</v>
      </c>
      <c r="P18" s="158" t="s">
        <v>106</v>
      </c>
    </row>
    <row r="19" spans="1:19" x14ac:dyDescent="0.25">
      <c r="A19" s="160">
        <v>1</v>
      </c>
      <c r="B19" s="161">
        <v>2</v>
      </c>
      <c r="C19" s="161">
        <v>3</v>
      </c>
      <c r="D19" s="161">
        <v>4</v>
      </c>
      <c r="E19" s="162">
        <v>5</v>
      </c>
      <c r="F19" s="160">
        <v>6</v>
      </c>
      <c r="G19" s="161">
        <v>7</v>
      </c>
      <c r="H19" s="161">
        <v>8</v>
      </c>
      <c r="I19" s="161">
        <v>9</v>
      </c>
      <c r="J19" s="161">
        <v>10</v>
      </c>
      <c r="K19" s="163">
        <v>11</v>
      </c>
      <c r="L19" s="164">
        <v>12</v>
      </c>
      <c r="M19" s="161">
        <v>13</v>
      </c>
      <c r="N19" s="161">
        <v>14</v>
      </c>
      <c r="O19" s="161">
        <v>15</v>
      </c>
      <c r="P19" s="163">
        <v>16</v>
      </c>
    </row>
    <row r="20" spans="1:19" ht="28.35" customHeight="1" x14ac:dyDescent="0.25">
      <c r="A20" s="165"/>
      <c r="B20" s="166"/>
      <c r="C20" s="378" t="s">
        <v>506</v>
      </c>
      <c r="D20" s="166"/>
      <c r="E20" s="167"/>
      <c r="F20" s="165"/>
      <c r="G20" s="166"/>
      <c r="H20" s="166"/>
      <c r="I20" s="166"/>
      <c r="J20" s="166"/>
      <c r="K20" s="168"/>
      <c r="L20" s="169"/>
      <c r="M20" s="166"/>
      <c r="N20" s="166"/>
      <c r="O20" s="166"/>
      <c r="P20" s="168"/>
    </row>
    <row r="21" spans="1:19" s="58" customFormat="1" ht="28.9" customHeight="1" x14ac:dyDescent="0.25">
      <c r="A21" s="71">
        <v>1</v>
      </c>
      <c r="B21" s="91" t="s">
        <v>108</v>
      </c>
      <c r="C21" s="146" t="s">
        <v>822</v>
      </c>
      <c r="D21" s="236" t="s">
        <v>112</v>
      </c>
      <c r="E21" s="385">
        <v>1</v>
      </c>
      <c r="F21" s="12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27.75" customHeight="1" x14ac:dyDescent="0.25">
      <c r="A22" s="71">
        <v>2</v>
      </c>
      <c r="B22" s="91" t="s">
        <v>108</v>
      </c>
      <c r="C22" s="146" t="s">
        <v>823</v>
      </c>
      <c r="D22" s="236" t="s">
        <v>114</v>
      </c>
      <c r="E22" s="385">
        <v>1</v>
      </c>
      <c r="F22" s="12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29.85" customHeight="1" x14ac:dyDescent="0.25">
      <c r="A23" s="71">
        <v>3</v>
      </c>
      <c r="B23" s="91" t="s">
        <v>108</v>
      </c>
      <c r="C23" s="146" t="s">
        <v>821</v>
      </c>
      <c r="D23" s="236" t="s">
        <v>114</v>
      </c>
      <c r="E23" s="385">
        <v>2</v>
      </c>
      <c r="F23" s="122"/>
      <c r="G23" s="64"/>
      <c r="H23" s="93"/>
      <c r="I23" s="6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20.100000000000001" customHeight="1" x14ac:dyDescent="0.25">
      <c r="A24" s="71">
        <v>4</v>
      </c>
      <c r="B24" s="91" t="s">
        <v>108</v>
      </c>
      <c r="C24" s="146" t="s">
        <v>826</v>
      </c>
      <c r="D24" s="236" t="s">
        <v>114</v>
      </c>
      <c r="E24" s="385">
        <v>47</v>
      </c>
      <c r="F24" s="122"/>
      <c r="G24" s="64"/>
      <c r="H24" s="93"/>
      <c r="I24" s="7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20.100000000000001" customHeight="1" x14ac:dyDescent="0.25">
      <c r="A25" s="71">
        <v>5</v>
      </c>
      <c r="B25" s="91" t="s">
        <v>108</v>
      </c>
      <c r="C25" s="146" t="s">
        <v>825</v>
      </c>
      <c r="D25" s="236" t="s">
        <v>114</v>
      </c>
      <c r="E25" s="385">
        <v>2</v>
      </c>
      <c r="F25" s="122"/>
      <c r="G25" s="64"/>
      <c r="H25" s="93"/>
      <c r="I25" s="7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33" customHeight="1" x14ac:dyDescent="0.25">
      <c r="A26" s="71">
        <v>6</v>
      </c>
      <c r="B26" s="91" t="s">
        <v>108</v>
      </c>
      <c r="C26" s="146" t="s">
        <v>824</v>
      </c>
      <c r="D26" s="236" t="s">
        <v>114</v>
      </c>
      <c r="E26" s="385">
        <v>7</v>
      </c>
      <c r="F26" s="122"/>
      <c r="G26" s="64"/>
      <c r="H26" s="93"/>
      <c r="I26" s="6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33" customHeight="1" x14ac:dyDescent="0.25">
      <c r="A27" s="71">
        <v>7</v>
      </c>
      <c r="B27" s="91" t="s">
        <v>108</v>
      </c>
      <c r="C27" s="146" t="s">
        <v>827</v>
      </c>
      <c r="D27" s="236" t="s">
        <v>114</v>
      </c>
      <c r="E27" s="385">
        <v>21</v>
      </c>
      <c r="F27" s="122"/>
      <c r="G27" s="64"/>
      <c r="H27" s="93"/>
      <c r="I27" s="6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25.15" customHeight="1" x14ac:dyDescent="0.25">
      <c r="A28" s="71">
        <v>8</v>
      </c>
      <c r="B28" s="91" t="s">
        <v>108</v>
      </c>
      <c r="C28" s="146" t="s">
        <v>828</v>
      </c>
      <c r="D28" s="236" t="s">
        <v>114</v>
      </c>
      <c r="E28" s="385">
        <v>3</v>
      </c>
      <c r="F28" s="122"/>
      <c r="G28" s="64"/>
      <c r="H28" s="93"/>
      <c r="I28" s="64"/>
      <c r="J28" s="64"/>
      <c r="K28" s="68"/>
      <c r="L28" s="112"/>
      <c r="M28" s="64"/>
      <c r="N28" s="64"/>
      <c r="O28" s="64"/>
      <c r="P28" s="68"/>
      <c r="S28" s="94"/>
    </row>
    <row r="29" spans="1:19" s="58" customFormat="1" ht="20.100000000000001" customHeight="1" x14ac:dyDescent="0.25">
      <c r="A29" s="71">
        <v>9</v>
      </c>
      <c r="B29" s="91" t="s">
        <v>108</v>
      </c>
      <c r="C29" s="146" t="s">
        <v>829</v>
      </c>
      <c r="D29" s="236" t="s">
        <v>114</v>
      </c>
      <c r="E29" s="385">
        <v>4</v>
      </c>
      <c r="F29" s="122"/>
      <c r="G29" s="64"/>
      <c r="H29" s="93"/>
      <c r="I29" s="74"/>
      <c r="J29" s="64"/>
      <c r="K29" s="68"/>
      <c r="L29" s="112"/>
      <c r="M29" s="64"/>
      <c r="N29" s="64"/>
      <c r="O29" s="64"/>
      <c r="P29" s="68"/>
      <c r="S29" s="94"/>
    </row>
    <row r="30" spans="1:19" s="58" customFormat="1" ht="20.100000000000001" customHeight="1" x14ac:dyDescent="0.25">
      <c r="A30" s="71">
        <v>10</v>
      </c>
      <c r="B30" s="91" t="s">
        <v>108</v>
      </c>
      <c r="C30" s="146" t="s">
        <v>830</v>
      </c>
      <c r="D30" s="236" t="s">
        <v>114</v>
      </c>
      <c r="E30" s="385">
        <v>2</v>
      </c>
      <c r="F30" s="122"/>
      <c r="G30" s="64"/>
      <c r="H30" s="93"/>
      <c r="I30" s="74"/>
      <c r="J30" s="64"/>
      <c r="K30" s="68"/>
      <c r="L30" s="112"/>
      <c r="M30" s="64"/>
      <c r="N30" s="64"/>
      <c r="O30" s="64"/>
      <c r="P30" s="68"/>
      <c r="S30" s="94"/>
    </row>
    <row r="31" spans="1:19" s="58" customFormat="1" ht="26.45" customHeight="1" x14ac:dyDescent="0.25">
      <c r="A31" s="71">
        <v>11</v>
      </c>
      <c r="B31" s="91" t="s">
        <v>108</v>
      </c>
      <c r="C31" s="146" t="s">
        <v>831</v>
      </c>
      <c r="D31" s="236" t="s">
        <v>112</v>
      </c>
      <c r="E31" s="385">
        <v>1</v>
      </c>
      <c r="F31" s="122"/>
      <c r="G31" s="64"/>
      <c r="H31" s="93"/>
      <c r="I31" s="64"/>
      <c r="J31" s="64"/>
      <c r="K31" s="68"/>
      <c r="L31" s="112"/>
      <c r="M31" s="64"/>
      <c r="N31" s="64"/>
      <c r="O31" s="64"/>
      <c r="P31" s="68"/>
      <c r="S31" s="94"/>
    </row>
    <row r="32" spans="1:19" s="58" customFormat="1" ht="20.100000000000001" customHeight="1" x14ac:dyDescent="0.25">
      <c r="A32" s="71">
        <v>12</v>
      </c>
      <c r="B32" s="91" t="s">
        <v>108</v>
      </c>
      <c r="C32" s="146" t="s">
        <v>507</v>
      </c>
      <c r="D32" s="236" t="s">
        <v>114</v>
      </c>
      <c r="E32" s="385">
        <v>60</v>
      </c>
      <c r="F32" s="122"/>
      <c r="G32" s="64"/>
      <c r="H32" s="93"/>
      <c r="I32" s="64"/>
      <c r="J32" s="64"/>
      <c r="K32" s="68"/>
      <c r="L32" s="112"/>
      <c r="M32" s="64"/>
      <c r="N32" s="64"/>
      <c r="O32" s="64"/>
      <c r="P32" s="68"/>
      <c r="S32" s="94"/>
    </row>
    <row r="33" spans="1:19" s="58" customFormat="1" ht="27.6" customHeight="1" x14ac:dyDescent="0.25">
      <c r="A33" s="71">
        <v>13</v>
      </c>
      <c r="B33" s="91" t="s">
        <v>108</v>
      </c>
      <c r="C33" s="146" t="s">
        <v>832</v>
      </c>
      <c r="D33" s="236" t="s">
        <v>110</v>
      </c>
      <c r="E33" s="385">
        <v>400</v>
      </c>
      <c r="F33" s="122"/>
      <c r="G33" s="64"/>
      <c r="H33" s="93"/>
      <c r="I33" s="64"/>
      <c r="J33" s="64"/>
      <c r="K33" s="68"/>
      <c r="L33" s="112"/>
      <c r="M33" s="64"/>
      <c r="N33" s="64"/>
      <c r="O33" s="64"/>
      <c r="P33" s="68"/>
      <c r="S33" s="94"/>
    </row>
    <row r="34" spans="1:19" s="58" customFormat="1" ht="39.75" customHeight="1" x14ac:dyDescent="0.25">
      <c r="A34" s="71">
        <v>14</v>
      </c>
      <c r="B34" s="91" t="s">
        <v>108</v>
      </c>
      <c r="C34" s="146" t="s">
        <v>833</v>
      </c>
      <c r="D34" s="236" t="s">
        <v>110</v>
      </c>
      <c r="E34" s="385">
        <v>100</v>
      </c>
      <c r="F34" s="122"/>
      <c r="G34" s="64"/>
      <c r="H34" s="93"/>
      <c r="I34" s="74"/>
      <c r="J34" s="64"/>
      <c r="K34" s="68"/>
      <c r="L34" s="112"/>
      <c r="M34" s="64"/>
      <c r="N34" s="64"/>
      <c r="O34" s="64"/>
      <c r="P34" s="68"/>
      <c r="S34" s="94"/>
    </row>
    <row r="35" spans="1:19" s="58" customFormat="1" ht="27.6" customHeight="1" x14ac:dyDescent="0.25">
      <c r="A35" s="71">
        <v>15</v>
      </c>
      <c r="B35" s="91" t="s">
        <v>108</v>
      </c>
      <c r="C35" s="146" t="s">
        <v>834</v>
      </c>
      <c r="D35" s="236" t="s">
        <v>110</v>
      </c>
      <c r="E35" s="385">
        <v>25</v>
      </c>
      <c r="F35" s="122"/>
      <c r="G35" s="64"/>
      <c r="H35" s="93"/>
      <c r="I35" s="74"/>
      <c r="J35" s="64"/>
      <c r="K35" s="68"/>
      <c r="L35" s="112"/>
      <c r="M35" s="64"/>
      <c r="N35" s="64"/>
      <c r="O35" s="64"/>
      <c r="P35" s="68"/>
      <c r="S35" s="94"/>
    </row>
    <row r="36" spans="1:19" s="58" customFormat="1" ht="27.6" customHeight="1" x14ac:dyDescent="0.25">
      <c r="A36" s="71">
        <v>16</v>
      </c>
      <c r="B36" s="91" t="s">
        <v>108</v>
      </c>
      <c r="C36" s="146" t="s">
        <v>835</v>
      </c>
      <c r="D36" s="236" t="s">
        <v>110</v>
      </c>
      <c r="E36" s="385">
        <v>100</v>
      </c>
      <c r="F36" s="122"/>
      <c r="G36" s="64"/>
      <c r="H36" s="93"/>
      <c r="I36" s="64"/>
      <c r="J36" s="64"/>
      <c r="K36" s="68"/>
      <c r="L36" s="112"/>
      <c r="M36" s="64"/>
      <c r="N36" s="64"/>
      <c r="O36" s="64"/>
      <c r="P36" s="68"/>
      <c r="S36" s="94"/>
    </row>
    <row r="37" spans="1:19" s="58" customFormat="1" ht="27.6" customHeight="1" x14ac:dyDescent="0.25">
      <c r="A37" s="71">
        <v>17</v>
      </c>
      <c r="B37" s="91" t="s">
        <v>108</v>
      </c>
      <c r="C37" s="146" t="s">
        <v>836</v>
      </c>
      <c r="D37" s="236" t="s">
        <v>110</v>
      </c>
      <c r="E37" s="385">
        <v>20</v>
      </c>
      <c r="F37" s="122"/>
      <c r="G37" s="64"/>
      <c r="H37" s="93"/>
      <c r="I37" s="64"/>
      <c r="J37" s="64"/>
      <c r="K37" s="68"/>
      <c r="L37" s="112"/>
      <c r="M37" s="64"/>
      <c r="N37" s="64"/>
      <c r="O37" s="64"/>
      <c r="P37" s="68"/>
      <c r="S37" s="94"/>
    </row>
    <row r="38" spans="1:19" s="58" customFormat="1" ht="38.25" customHeight="1" x14ac:dyDescent="0.25">
      <c r="A38" s="71">
        <v>18</v>
      </c>
      <c r="B38" s="91" t="s">
        <v>108</v>
      </c>
      <c r="C38" s="146" t="s">
        <v>837</v>
      </c>
      <c r="D38" s="236" t="s">
        <v>112</v>
      </c>
      <c r="E38" s="385">
        <v>4</v>
      </c>
      <c r="F38" s="122"/>
      <c r="G38" s="64"/>
      <c r="H38" s="93"/>
      <c r="I38" s="64"/>
      <c r="J38" s="64"/>
      <c r="K38" s="68"/>
      <c r="L38" s="112"/>
      <c r="M38" s="64"/>
      <c r="N38" s="64"/>
      <c r="O38" s="64"/>
      <c r="P38" s="68"/>
      <c r="S38" s="94"/>
    </row>
    <row r="39" spans="1:19" s="58" customFormat="1" ht="37.5" customHeight="1" x14ac:dyDescent="0.25">
      <c r="A39" s="71">
        <v>19</v>
      </c>
      <c r="B39" s="91" t="s">
        <v>108</v>
      </c>
      <c r="C39" s="146" t="s">
        <v>838</v>
      </c>
      <c r="D39" s="236" t="s">
        <v>112</v>
      </c>
      <c r="E39" s="385">
        <v>4</v>
      </c>
      <c r="F39" s="122"/>
      <c r="G39" s="64"/>
      <c r="H39" s="93"/>
      <c r="I39" s="74"/>
      <c r="J39" s="64"/>
      <c r="K39" s="68"/>
      <c r="L39" s="112"/>
      <c r="M39" s="64"/>
      <c r="N39" s="64"/>
      <c r="O39" s="64"/>
      <c r="P39" s="68"/>
      <c r="S39" s="94"/>
    </row>
    <row r="40" spans="1:19" s="58" customFormat="1" ht="20.100000000000001" customHeight="1" x14ac:dyDescent="0.25">
      <c r="A40" s="71">
        <v>20</v>
      </c>
      <c r="B40" s="91" t="s">
        <v>108</v>
      </c>
      <c r="C40" s="146" t="s">
        <v>508</v>
      </c>
      <c r="D40" s="236" t="s">
        <v>114</v>
      </c>
      <c r="E40" s="385">
        <v>1</v>
      </c>
      <c r="F40" s="122"/>
      <c r="G40" s="64"/>
      <c r="H40" s="93"/>
      <c r="I40" s="74"/>
      <c r="J40" s="64"/>
      <c r="K40" s="68"/>
      <c r="L40" s="112"/>
      <c r="M40" s="64"/>
      <c r="N40" s="64"/>
      <c r="O40" s="64"/>
      <c r="P40" s="68"/>
      <c r="S40" s="94"/>
    </row>
    <row r="41" spans="1:19" s="58" customFormat="1" ht="30.75" customHeight="1" x14ac:dyDescent="0.25">
      <c r="A41" s="71">
        <v>21</v>
      </c>
      <c r="B41" s="91" t="s">
        <v>108</v>
      </c>
      <c r="C41" s="146" t="s">
        <v>839</v>
      </c>
      <c r="D41" s="236" t="s">
        <v>114</v>
      </c>
      <c r="E41" s="385">
        <v>1</v>
      </c>
      <c r="F41" s="122"/>
      <c r="G41" s="64"/>
      <c r="H41" s="93"/>
      <c r="I41" s="64"/>
      <c r="J41" s="64"/>
      <c r="K41" s="68"/>
      <c r="L41" s="112"/>
      <c r="M41" s="64"/>
      <c r="N41" s="64"/>
      <c r="O41" s="64"/>
      <c r="P41" s="68"/>
      <c r="S41" s="94"/>
    </row>
    <row r="42" spans="1:19" s="58" customFormat="1" ht="24.75" customHeight="1" x14ac:dyDescent="0.25">
      <c r="A42" s="71">
        <v>22</v>
      </c>
      <c r="B42" s="91" t="s">
        <v>108</v>
      </c>
      <c r="C42" s="146" t="s">
        <v>840</v>
      </c>
      <c r="D42" s="236" t="s">
        <v>114</v>
      </c>
      <c r="E42" s="385">
        <v>1</v>
      </c>
      <c r="F42" s="122"/>
      <c r="G42" s="64"/>
      <c r="H42" s="93"/>
      <c r="I42" s="64"/>
      <c r="J42" s="64"/>
      <c r="K42" s="68"/>
      <c r="L42" s="112"/>
      <c r="M42" s="64"/>
      <c r="N42" s="64"/>
      <c r="O42" s="64"/>
      <c r="P42" s="68"/>
      <c r="S42" s="94"/>
    </row>
    <row r="43" spans="1:19" s="58" customFormat="1" ht="20.100000000000001" customHeight="1" x14ac:dyDescent="0.25">
      <c r="A43" s="71">
        <v>23</v>
      </c>
      <c r="B43" s="91" t="s">
        <v>108</v>
      </c>
      <c r="C43" s="146" t="s">
        <v>262</v>
      </c>
      <c r="D43" s="236" t="s">
        <v>112</v>
      </c>
      <c r="E43" s="385">
        <v>1</v>
      </c>
      <c r="F43" s="122"/>
      <c r="G43" s="64"/>
      <c r="H43" s="93"/>
      <c r="I43" s="64"/>
      <c r="J43" s="64"/>
      <c r="K43" s="68"/>
      <c r="L43" s="112"/>
      <c r="M43" s="64"/>
      <c r="N43" s="64"/>
      <c r="O43" s="64"/>
      <c r="P43" s="68"/>
      <c r="S43" s="94"/>
    </row>
    <row r="44" spans="1:19" ht="17.850000000000001" customHeight="1" x14ac:dyDescent="0.25">
      <c r="A44" s="171"/>
      <c r="B44" s="172"/>
      <c r="C44" s="146"/>
      <c r="D44" s="236"/>
      <c r="E44" s="238"/>
      <c r="F44" s="171"/>
      <c r="G44" s="172"/>
      <c r="H44" s="172"/>
      <c r="I44" s="172"/>
      <c r="J44" s="172"/>
      <c r="K44" s="174"/>
      <c r="L44" s="175"/>
      <c r="M44" s="172"/>
      <c r="N44" s="172"/>
      <c r="O44" s="172"/>
      <c r="P44" s="174"/>
    </row>
    <row r="45" spans="1:19" ht="15.75" customHeight="1" x14ac:dyDescent="0.25">
      <c r="A45" s="176"/>
      <c r="B45" s="177"/>
      <c r="C45" s="458" t="s">
        <v>136</v>
      </c>
      <c r="D45" s="458"/>
      <c r="E45" s="458"/>
      <c r="F45" s="458"/>
      <c r="G45" s="458"/>
      <c r="H45" s="458"/>
      <c r="I45" s="458"/>
      <c r="J45" s="458"/>
      <c r="K45" s="458"/>
      <c r="L45" s="178">
        <f>SUM(L21:L43)</f>
        <v>0</v>
      </c>
      <c r="M45" s="179">
        <f>SUM(M21:M43)</f>
        <v>0</v>
      </c>
      <c r="N45" s="179">
        <f>SUM(N21:N43)</f>
        <v>0</v>
      </c>
      <c r="O45" s="179">
        <f>SUM(O21:O43)</f>
        <v>0</v>
      </c>
      <c r="P45" s="180">
        <f>SUM(P21:P43)</f>
        <v>0</v>
      </c>
    </row>
    <row r="46" spans="1:19" ht="7.9" customHeight="1" x14ac:dyDescent="0.25"/>
    <row r="47" spans="1:19" x14ac:dyDescent="0.25">
      <c r="B47" s="149" t="s">
        <v>26</v>
      </c>
      <c r="C47" s="181">
        <f>KOPTAME!C58</f>
        <v>0</v>
      </c>
      <c r="E47" s="152">
        <f>'KOPS 1'!F42</f>
        <v>0</v>
      </c>
    </row>
    <row r="48" spans="1:19" x14ac:dyDescent="0.25">
      <c r="C48" s="153" t="s">
        <v>86</v>
      </c>
      <c r="E48" s="153"/>
    </row>
    <row r="49" spans="2:6" ht="8.4499999999999993" customHeight="1" x14ac:dyDescent="0.25">
      <c r="E49" s="153"/>
    </row>
    <row r="50" spans="2:6" x14ac:dyDescent="0.25">
      <c r="B50" s="150"/>
      <c r="C50" s="182"/>
      <c r="D50" s="153"/>
      <c r="E50" s="153"/>
      <c r="F50" s="155"/>
    </row>
    <row r="51" spans="2:6" ht="6.6" customHeight="1" x14ac:dyDescent="0.25">
      <c r="E51" s="153"/>
    </row>
    <row r="52" spans="2:6" x14ac:dyDescent="0.25">
      <c r="B52" s="149" t="s">
        <v>28</v>
      </c>
      <c r="C52" s="181">
        <f>KOPTAME!C63</f>
        <v>0</v>
      </c>
      <c r="E52" s="152">
        <f>E47</f>
        <v>0</v>
      </c>
    </row>
    <row r="53" spans="2:6" x14ac:dyDescent="0.25">
      <c r="C53" s="153" t="s">
        <v>86</v>
      </c>
      <c r="E53" s="153"/>
    </row>
    <row r="54" spans="2:6" ht="7.9" customHeight="1" x14ac:dyDescent="0.25">
      <c r="E54" s="153"/>
    </row>
    <row r="55" spans="2:6" x14ac:dyDescent="0.25">
      <c r="C55" s="149">
        <f>KOPTAME!C68</f>
        <v>0</v>
      </c>
    </row>
    <row r="56" spans="2:6" ht="8.4499999999999993" customHeight="1" x14ac:dyDescent="0.25"/>
    <row r="57" spans="2:6" x14ac:dyDescent="0.25">
      <c r="C57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45:K45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5" firstPageNumber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A1:AMJ60"/>
  <sheetViews>
    <sheetView view="pageBreakPreview" topLeftCell="A13" zoomScaleNormal="100" workbookViewId="0">
      <selection activeCell="J42" sqref="J42"/>
    </sheetView>
  </sheetViews>
  <sheetFormatPr defaultColWidth="9.140625" defaultRowHeight="15" x14ac:dyDescent="0.25"/>
  <cols>
    <col min="1" max="1" width="9.140625" style="149"/>
    <col min="2" max="2" width="9.28515625" style="149" customWidth="1"/>
    <col min="3" max="3" width="32.85546875" style="149" customWidth="1"/>
    <col min="4" max="4" width="7.28515625" style="149" customWidth="1"/>
    <col min="5" max="5" width="7.140625" style="149" customWidth="1"/>
    <col min="6" max="11" width="7.7109375" style="149" customWidth="1"/>
    <col min="12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x14ac:dyDescent="0.25">
      <c r="E2" s="455" t="s">
        <v>88</v>
      </c>
      <c r="F2" s="455"/>
      <c r="G2" s="455"/>
      <c r="H2" s="455"/>
      <c r="I2" s="151" t="s">
        <v>657</v>
      </c>
    </row>
    <row r="3" spans="1:16" x14ac:dyDescent="0.25">
      <c r="D3" s="456" t="s">
        <v>72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P48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47" t="s">
        <v>92</v>
      </c>
      <c r="B17" s="448" t="s">
        <v>93</v>
      </c>
      <c r="C17" s="449" t="s">
        <v>94</v>
      </c>
      <c r="D17" s="450" t="s">
        <v>95</v>
      </c>
      <c r="E17" s="451" t="s">
        <v>96</v>
      </c>
      <c r="F17" s="444" t="s">
        <v>97</v>
      </c>
      <c r="G17" s="444"/>
      <c r="H17" s="444"/>
      <c r="I17" s="444"/>
      <c r="J17" s="444"/>
      <c r="K17" s="444"/>
      <c r="L17" s="445" t="s">
        <v>98</v>
      </c>
      <c r="M17" s="445"/>
      <c r="N17" s="445"/>
      <c r="O17" s="445"/>
      <c r="P17" s="445"/>
    </row>
    <row r="18" spans="1:19" ht="58.15" customHeight="1" x14ac:dyDescent="0.25">
      <c r="A18" s="447"/>
      <c r="B18" s="448"/>
      <c r="C18" s="449"/>
      <c r="D18" s="450"/>
      <c r="E18" s="451"/>
      <c r="F18" s="156" t="s">
        <v>99</v>
      </c>
      <c r="G18" s="157" t="s">
        <v>100</v>
      </c>
      <c r="H18" s="157" t="s">
        <v>101</v>
      </c>
      <c r="I18" s="157" t="s">
        <v>102</v>
      </c>
      <c r="J18" s="157" t="s">
        <v>103</v>
      </c>
      <c r="K18" s="158" t="s">
        <v>104</v>
      </c>
      <c r="L18" s="159" t="s">
        <v>105</v>
      </c>
      <c r="M18" s="157" t="s">
        <v>101</v>
      </c>
      <c r="N18" s="157" t="s">
        <v>102</v>
      </c>
      <c r="O18" s="157" t="s">
        <v>103</v>
      </c>
      <c r="P18" s="158" t="s">
        <v>106</v>
      </c>
    </row>
    <row r="19" spans="1:19" x14ac:dyDescent="0.25">
      <c r="A19" s="160">
        <v>1</v>
      </c>
      <c r="B19" s="161">
        <v>2</v>
      </c>
      <c r="C19" s="161">
        <v>3</v>
      </c>
      <c r="D19" s="161">
        <v>4</v>
      </c>
      <c r="E19" s="162">
        <v>5</v>
      </c>
      <c r="F19" s="160">
        <v>6</v>
      </c>
      <c r="G19" s="161">
        <v>7</v>
      </c>
      <c r="H19" s="161">
        <v>8</v>
      </c>
      <c r="I19" s="161">
        <v>9</v>
      </c>
      <c r="J19" s="161">
        <v>10</v>
      </c>
      <c r="K19" s="163">
        <v>11</v>
      </c>
      <c r="L19" s="164">
        <v>12</v>
      </c>
      <c r="M19" s="161">
        <v>13</v>
      </c>
      <c r="N19" s="161">
        <v>14</v>
      </c>
      <c r="O19" s="161">
        <v>15</v>
      </c>
      <c r="P19" s="163">
        <v>16</v>
      </c>
    </row>
    <row r="20" spans="1:19" ht="28.35" customHeight="1" x14ac:dyDescent="0.25">
      <c r="A20" s="165"/>
      <c r="B20" s="166"/>
      <c r="C20" s="378" t="s">
        <v>509</v>
      </c>
      <c r="D20" s="383"/>
      <c r="E20" s="384"/>
      <c r="F20" s="165"/>
      <c r="G20" s="166"/>
      <c r="H20" s="166"/>
      <c r="I20" s="166"/>
      <c r="J20" s="166"/>
      <c r="K20" s="168"/>
      <c r="L20" s="169"/>
      <c r="M20" s="166"/>
      <c r="N20" s="166"/>
      <c r="O20" s="166"/>
      <c r="P20" s="168"/>
    </row>
    <row r="21" spans="1:19" s="58" customFormat="1" ht="41.65" customHeight="1" x14ac:dyDescent="0.25">
      <c r="A21" s="71">
        <v>1</v>
      </c>
      <c r="B21" s="91" t="s">
        <v>108</v>
      </c>
      <c r="C21" s="146" t="s">
        <v>841</v>
      </c>
      <c r="D21" s="236" t="s">
        <v>114</v>
      </c>
      <c r="E21" s="385">
        <v>1</v>
      </c>
      <c r="F21" s="12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35.1" customHeight="1" x14ac:dyDescent="0.25">
      <c r="A22" s="71">
        <v>2</v>
      </c>
      <c r="B22" s="91" t="s">
        <v>108</v>
      </c>
      <c r="C22" s="146" t="s">
        <v>842</v>
      </c>
      <c r="D22" s="236" t="s">
        <v>114</v>
      </c>
      <c r="E22" s="385">
        <v>1</v>
      </c>
      <c r="F22" s="12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17.850000000000001" customHeight="1" x14ac:dyDescent="0.25">
      <c r="A23" s="71">
        <v>3</v>
      </c>
      <c r="B23" s="91" t="s">
        <v>108</v>
      </c>
      <c r="C23" s="146" t="s">
        <v>843</v>
      </c>
      <c r="D23" s="236" t="s">
        <v>114</v>
      </c>
      <c r="E23" s="385">
        <v>2</v>
      </c>
      <c r="F23" s="122"/>
      <c r="G23" s="64"/>
      <c r="H23" s="93"/>
      <c r="I23" s="6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31.35" customHeight="1" x14ac:dyDescent="0.25">
      <c r="A24" s="71">
        <v>4</v>
      </c>
      <c r="B24" s="91" t="s">
        <v>108</v>
      </c>
      <c r="C24" s="146" t="s">
        <v>844</v>
      </c>
      <c r="D24" s="236" t="s">
        <v>114</v>
      </c>
      <c r="E24" s="385">
        <v>1</v>
      </c>
      <c r="F24" s="122"/>
      <c r="G24" s="64"/>
      <c r="H24" s="93"/>
      <c r="I24" s="7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32.85" customHeight="1" x14ac:dyDescent="0.25">
      <c r="A25" s="71">
        <v>5</v>
      </c>
      <c r="B25" s="91" t="s">
        <v>108</v>
      </c>
      <c r="C25" s="146" t="s">
        <v>845</v>
      </c>
      <c r="D25" s="236" t="s">
        <v>114</v>
      </c>
      <c r="E25" s="385">
        <v>2</v>
      </c>
      <c r="F25" s="122"/>
      <c r="G25" s="64"/>
      <c r="H25" s="93"/>
      <c r="I25" s="7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30.75" customHeight="1" x14ac:dyDescent="0.25">
      <c r="A26" s="71">
        <v>6</v>
      </c>
      <c r="B26" s="91" t="s">
        <v>108</v>
      </c>
      <c r="C26" s="146" t="s">
        <v>846</v>
      </c>
      <c r="D26" s="236" t="s">
        <v>114</v>
      </c>
      <c r="E26" s="385">
        <v>1</v>
      </c>
      <c r="F26" s="122"/>
      <c r="G26" s="64"/>
      <c r="H26" s="93"/>
      <c r="I26" s="6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30.6" customHeight="1" x14ac:dyDescent="0.25">
      <c r="A27" s="71">
        <v>7</v>
      </c>
      <c r="B27" s="91" t="s">
        <v>108</v>
      </c>
      <c r="C27" s="146" t="s">
        <v>847</v>
      </c>
      <c r="D27" s="236" t="s">
        <v>114</v>
      </c>
      <c r="E27" s="385">
        <v>1</v>
      </c>
      <c r="F27" s="122"/>
      <c r="G27" s="64"/>
      <c r="H27" s="93"/>
      <c r="I27" s="6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29.85" customHeight="1" x14ac:dyDescent="0.25">
      <c r="A28" s="71">
        <v>8</v>
      </c>
      <c r="B28" s="91" t="s">
        <v>108</v>
      </c>
      <c r="C28" s="146" t="s">
        <v>848</v>
      </c>
      <c r="D28" s="236" t="s">
        <v>114</v>
      </c>
      <c r="E28" s="385">
        <v>4</v>
      </c>
      <c r="F28" s="122"/>
      <c r="G28" s="64"/>
      <c r="H28" s="93"/>
      <c r="I28" s="64"/>
      <c r="J28" s="64"/>
      <c r="K28" s="68"/>
      <c r="L28" s="112"/>
      <c r="M28" s="64"/>
      <c r="N28" s="64"/>
      <c r="O28" s="64"/>
      <c r="P28" s="68"/>
      <c r="S28" s="94"/>
    </row>
    <row r="29" spans="1:19" s="58" customFormat="1" ht="30.6" customHeight="1" x14ac:dyDescent="0.25">
      <c r="A29" s="71">
        <v>9</v>
      </c>
      <c r="B29" s="91" t="s">
        <v>108</v>
      </c>
      <c r="C29" s="146" t="s">
        <v>850</v>
      </c>
      <c r="D29" s="236" t="s">
        <v>114</v>
      </c>
      <c r="E29" s="385">
        <v>2</v>
      </c>
      <c r="F29" s="122"/>
      <c r="G29" s="64"/>
      <c r="H29" s="93"/>
      <c r="I29" s="74"/>
      <c r="J29" s="64"/>
      <c r="K29" s="68"/>
      <c r="L29" s="112"/>
      <c r="M29" s="64"/>
      <c r="N29" s="64"/>
      <c r="O29" s="64"/>
      <c r="P29" s="68"/>
      <c r="S29" s="94"/>
    </row>
    <row r="30" spans="1:19" s="58" customFormat="1" ht="20.100000000000001" customHeight="1" x14ac:dyDescent="0.25">
      <c r="A30" s="71">
        <v>10</v>
      </c>
      <c r="B30" s="91" t="s">
        <v>108</v>
      </c>
      <c r="C30" s="146" t="s">
        <v>849</v>
      </c>
      <c r="D30" s="236" t="s">
        <v>114</v>
      </c>
      <c r="E30" s="385">
        <v>2</v>
      </c>
      <c r="F30" s="122"/>
      <c r="G30" s="64"/>
      <c r="H30" s="93"/>
      <c r="I30" s="74"/>
      <c r="J30" s="64"/>
      <c r="K30" s="68"/>
      <c r="L30" s="112"/>
      <c r="M30" s="64"/>
      <c r="N30" s="64"/>
      <c r="O30" s="64"/>
      <c r="P30" s="68"/>
      <c r="S30" s="94"/>
    </row>
    <row r="31" spans="1:19" s="58" customFormat="1" ht="27.6" customHeight="1" x14ac:dyDescent="0.25">
      <c r="A31" s="71">
        <v>11</v>
      </c>
      <c r="B31" s="91" t="s">
        <v>108</v>
      </c>
      <c r="C31" s="146" t="s">
        <v>851</v>
      </c>
      <c r="D31" s="236" t="s">
        <v>114</v>
      </c>
      <c r="E31" s="385">
        <v>52</v>
      </c>
      <c r="F31" s="122"/>
      <c r="G31" s="64"/>
      <c r="H31" s="93"/>
      <c r="I31" s="64"/>
      <c r="J31" s="64"/>
      <c r="K31" s="68"/>
      <c r="L31" s="112"/>
      <c r="M31" s="64"/>
      <c r="N31" s="64"/>
      <c r="O31" s="64"/>
      <c r="P31" s="68"/>
      <c r="S31" s="94"/>
    </row>
    <row r="32" spans="1:19" s="58" customFormat="1" ht="25.35" customHeight="1" x14ac:dyDescent="0.25">
      <c r="A32" s="71">
        <v>12</v>
      </c>
      <c r="B32" s="91" t="s">
        <v>108</v>
      </c>
      <c r="C32" s="146" t="s">
        <v>852</v>
      </c>
      <c r="D32" s="236" t="s">
        <v>114</v>
      </c>
      <c r="E32" s="385">
        <v>17</v>
      </c>
      <c r="F32" s="122"/>
      <c r="G32" s="64"/>
      <c r="H32" s="93"/>
      <c r="I32" s="64"/>
      <c r="J32" s="64"/>
      <c r="K32" s="68"/>
      <c r="L32" s="112"/>
      <c r="M32" s="64"/>
      <c r="N32" s="64"/>
      <c r="O32" s="64"/>
      <c r="P32" s="68"/>
      <c r="S32" s="94"/>
    </row>
    <row r="33" spans="1:19" s="58" customFormat="1" ht="42" customHeight="1" x14ac:dyDescent="0.25">
      <c r="A33" s="71">
        <v>13</v>
      </c>
      <c r="B33" s="91" t="s">
        <v>108</v>
      </c>
      <c r="C33" s="146" t="s">
        <v>853</v>
      </c>
      <c r="D33" s="236" t="s">
        <v>114</v>
      </c>
      <c r="E33" s="385">
        <v>4</v>
      </c>
      <c r="F33" s="122"/>
      <c r="G33" s="64"/>
      <c r="H33" s="93"/>
      <c r="I33" s="64"/>
      <c r="J33" s="64"/>
      <c r="K33" s="68"/>
      <c r="L33" s="112"/>
      <c r="M33" s="64"/>
      <c r="N33" s="64"/>
      <c r="O33" s="64"/>
      <c r="P33" s="68"/>
      <c r="S33" s="94"/>
    </row>
    <row r="34" spans="1:19" s="58" customFormat="1" ht="27.6" customHeight="1" x14ac:dyDescent="0.25">
      <c r="A34" s="71">
        <v>14</v>
      </c>
      <c r="B34" s="91" t="s">
        <v>108</v>
      </c>
      <c r="C34" s="146" t="s">
        <v>510</v>
      </c>
      <c r="D34" s="236" t="s">
        <v>114</v>
      </c>
      <c r="E34" s="385">
        <v>17</v>
      </c>
      <c r="F34" s="122"/>
      <c r="G34" s="64"/>
      <c r="H34" s="93"/>
      <c r="I34" s="74"/>
      <c r="J34" s="64"/>
      <c r="K34" s="68"/>
      <c r="L34" s="112"/>
      <c r="M34" s="64"/>
      <c r="N34" s="64"/>
      <c r="O34" s="64"/>
      <c r="P34" s="68"/>
      <c r="S34" s="94"/>
    </row>
    <row r="35" spans="1:19" s="58" customFormat="1" ht="27.6" customHeight="1" x14ac:dyDescent="0.25">
      <c r="A35" s="71">
        <v>15</v>
      </c>
      <c r="B35" s="91" t="s">
        <v>108</v>
      </c>
      <c r="C35" s="146" t="s">
        <v>854</v>
      </c>
      <c r="D35" s="236" t="s">
        <v>114</v>
      </c>
      <c r="E35" s="385">
        <v>1</v>
      </c>
      <c r="F35" s="122"/>
      <c r="G35" s="64"/>
      <c r="H35" s="93"/>
      <c r="I35" s="74"/>
      <c r="J35" s="64"/>
      <c r="K35" s="68"/>
      <c r="L35" s="112"/>
      <c r="M35" s="64"/>
      <c r="N35" s="64"/>
      <c r="O35" s="64"/>
      <c r="P35" s="68"/>
      <c r="S35" s="94"/>
    </row>
    <row r="36" spans="1:19" s="58" customFormat="1" ht="36.75" customHeight="1" x14ac:dyDescent="0.25">
      <c r="A36" s="71">
        <v>16</v>
      </c>
      <c r="B36" s="91" t="s">
        <v>108</v>
      </c>
      <c r="C36" s="146" t="s">
        <v>855</v>
      </c>
      <c r="D36" s="236" t="s">
        <v>114</v>
      </c>
      <c r="E36" s="385">
        <v>4</v>
      </c>
      <c r="F36" s="122"/>
      <c r="G36" s="64"/>
      <c r="H36" s="93"/>
      <c r="I36" s="64"/>
      <c r="J36" s="64"/>
      <c r="K36" s="68"/>
      <c r="L36" s="112"/>
      <c r="M36" s="64"/>
      <c r="N36" s="64"/>
      <c r="O36" s="64"/>
      <c r="P36" s="68"/>
      <c r="S36" s="94"/>
    </row>
    <row r="37" spans="1:19" s="58" customFormat="1" ht="27.6" customHeight="1" x14ac:dyDescent="0.25">
      <c r="A37" s="71">
        <v>17</v>
      </c>
      <c r="B37" s="91" t="s">
        <v>108</v>
      </c>
      <c r="C37" s="146" t="s">
        <v>856</v>
      </c>
      <c r="D37" s="236" t="s">
        <v>114</v>
      </c>
      <c r="E37" s="385">
        <v>4</v>
      </c>
      <c r="F37" s="122"/>
      <c r="G37" s="64"/>
      <c r="H37" s="93"/>
      <c r="I37" s="64"/>
      <c r="J37" s="64"/>
      <c r="K37" s="68"/>
      <c r="L37" s="112"/>
      <c r="M37" s="64"/>
      <c r="N37" s="64"/>
      <c r="O37" s="64"/>
      <c r="P37" s="68"/>
      <c r="S37" s="94"/>
    </row>
    <row r="38" spans="1:19" s="58" customFormat="1" ht="48" customHeight="1" x14ac:dyDescent="0.25">
      <c r="A38" s="71">
        <v>18</v>
      </c>
      <c r="B38" s="91" t="s">
        <v>108</v>
      </c>
      <c r="C38" s="146" t="s">
        <v>857</v>
      </c>
      <c r="D38" s="236" t="s">
        <v>114</v>
      </c>
      <c r="E38" s="385">
        <v>2</v>
      </c>
      <c r="F38" s="122"/>
      <c r="G38" s="64"/>
      <c r="H38" s="93"/>
      <c r="I38" s="64"/>
      <c r="J38" s="64"/>
      <c r="K38" s="68"/>
      <c r="L38" s="112"/>
      <c r="M38" s="64"/>
      <c r="N38" s="64"/>
      <c r="O38" s="64"/>
      <c r="P38" s="68"/>
      <c r="S38" s="94"/>
    </row>
    <row r="39" spans="1:19" s="58" customFormat="1" ht="27.6" customHeight="1" x14ac:dyDescent="0.25">
      <c r="A39" s="71">
        <v>19</v>
      </c>
      <c r="B39" s="91" t="s">
        <v>108</v>
      </c>
      <c r="C39" s="146" t="s">
        <v>858</v>
      </c>
      <c r="D39" s="236" t="s">
        <v>114</v>
      </c>
      <c r="E39" s="385">
        <v>1</v>
      </c>
      <c r="F39" s="122"/>
      <c r="G39" s="64"/>
      <c r="H39" s="93"/>
      <c r="I39" s="74"/>
      <c r="J39" s="64"/>
      <c r="K39" s="68"/>
      <c r="L39" s="112"/>
      <c r="M39" s="64"/>
      <c r="N39" s="64"/>
      <c r="O39" s="64"/>
      <c r="P39" s="68"/>
      <c r="S39" s="94"/>
    </row>
    <row r="40" spans="1:19" s="58" customFormat="1" ht="20.100000000000001" customHeight="1" x14ac:dyDescent="0.25">
      <c r="A40" s="71">
        <v>20</v>
      </c>
      <c r="B40" s="91" t="s">
        <v>108</v>
      </c>
      <c r="C40" s="146" t="s">
        <v>859</v>
      </c>
      <c r="D40" s="236" t="s">
        <v>114</v>
      </c>
      <c r="E40" s="385">
        <v>2</v>
      </c>
      <c r="F40" s="122"/>
      <c r="G40" s="64"/>
      <c r="H40" s="93"/>
      <c r="I40" s="74"/>
      <c r="J40" s="64"/>
      <c r="K40" s="68"/>
      <c r="L40" s="112"/>
      <c r="M40" s="64"/>
      <c r="N40" s="64"/>
      <c r="O40" s="64"/>
      <c r="P40" s="68"/>
      <c r="S40" s="94"/>
    </row>
    <row r="41" spans="1:19" s="58" customFormat="1" ht="20.100000000000001" customHeight="1" x14ac:dyDescent="0.25">
      <c r="A41" s="71">
        <v>21</v>
      </c>
      <c r="B41" s="91" t="s">
        <v>108</v>
      </c>
      <c r="C41" s="146" t="s">
        <v>511</v>
      </c>
      <c r="D41" s="236" t="s">
        <v>110</v>
      </c>
      <c r="E41" s="385">
        <v>1800</v>
      </c>
      <c r="F41" s="122"/>
      <c r="G41" s="64"/>
      <c r="H41" s="93"/>
      <c r="I41" s="74"/>
      <c r="J41" s="64"/>
      <c r="K41" s="68"/>
      <c r="L41" s="112"/>
      <c r="M41" s="64"/>
      <c r="N41" s="64"/>
      <c r="O41" s="64"/>
      <c r="P41" s="68"/>
      <c r="S41" s="94"/>
    </row>
    <row r="42" spans="1:19" s="58" customFormat="1" ht="20.100000000000001" customHeight="1" x14ac:dyDescent="0.25">
      <c r="A42" s="71">
        <v>22</v>
      </c>
      <c r="B42" s="91" t="s">
        <v>108</v>
      </c>
      <c r="C42" s="146" t="s">
        <v>512</v>
      </c>
      <c r="D42" s="236" t="s">
        <v>110</v>
      </c>
      <c r="E42" s="385">
        <v>25</v>
      </c>
      <c r="F42" s="122"/>
      <c r="G42" s="64"/>
      <c r="H42" s="93"/>
      <c r="I42" s="74"/>
      <c r="J42" s="64"/>
      <c r="K42" s="68"/>
      <c r="L42" s="112"/>
      <c r="M42" s="64"/>
      <c r="N42" s="64"/>
      <c r="O42" s="64"/>
      <c r="P42" s="68"/>
      <c r="S42" s="94"/>
    </row>
    <row r="43" spans="1:19" s="58" customFormat="1" ht="34.35" customHeight="1" x14ac:dyDescent="0.25">
      <c r="A43" s="71">
        <v>23</v>
      </c>
      <c r="B43" s="91" t="s">
        <v>108</v>
      </c>
      <c r="C43" s="146" t="s">
        <v>835</v>
      </c>
      <c r="D43" s="236" t="s">
        <v>110</v>
      </c>
      <c r="E43" s="385">
        <v>350</v>
      </c>
      <c r="F43" s="122"/>
      <c r="G43" s="64"/>
      <c r="H43" s="93"/>
      <c r="I43" s="64"/>
      <c r="J43" s="64"/>
      <c r="K43" s="68"/>
      <c r="L43" s="112"/>
      <c r="M43" s="64"/>
      <c r="N43" s="64"/>
      <c r="O43" s="64"/>
      <c r="P43" s="68"/>
      <c r="S43" s="94"/>
    </row>
    <row r="44" spans="1:19" s="58" customFormat="1" ht="34.35" customHeight="1" x14ac:dyDescent="0.25">
      <c r="A44" s="71">
        <v>24</v>
      </c>
      <c r="B44" s="91" t="s">
        <v>108</v>
      </c>
      <c r="C44" s="146" t="s">
        <v>836</v>
      </c>
      <c r="D44" s="236" t="s">
        <v>110</v>
      </c>
      <c r="E44" s="385">
        <v>100</v>
      </c>
      <c r="F44" s="122"/>
      <c r="G44" s="64"/>
      <c r="H44" s="93"/>
      <c r="I44" s="64"/>
      <c r="J44" s="64"/>
      <c r="K44" s="68"/>
      <c r="L44" s="112"/>
      <c r="M44" s="64"/>
      <c r="N44" s="64"/>
      <c r="O44" s="64"/>
      <c r="P44" s="68"/>
      <c r="S44" s="94"/>
    </row>
    <row r="45" spans="1:19" s="58" customFormat="1" ht="24" customHeight="1" x14ac:dyDescent="0.25">
      <c r="A45" s="71">
        <v>25</v>
      </c>
      <c r="B45" s="91" t="s">
        <v>108</v>
      </c>
      <c r="C45" s="146" t="s">
        <v>839</v>
      </c>
      <c r="D45" s="236" t="s">
        <v>114</v>
      </c>
      <c r="E45" s="385">
        <v>1</v>
      </c>
      <c r="F45" s="122"/>
      <c r="G45" s="64"/>
      <c r="H45" s="93"/>
      <c r="I45" s="64"/>
      <c r="J45" s="64"/>
      <c r="K45" s="68"/>
      <c r="L45" s="112"/>
      <c r="M45" s="64"/>
      <c r="N45" s="64"/>
      <c r="O45" s="64"/>
      <c r="P45" s="68"/>
      <c r="S45" s="94"/>
    </row>
    <row r="46" spans="1:19" s="58" customFormat="1" ht="20.100000000000001" customHeight="1" x14ac:dyDescent="0.25">
      <c r="A46" s="71">
        <v>26</v>
      </c>
      <c r="B46" s="91" t="s">
        <v>108</v>
      </c>
      <c r="C46" s="146" t="s">
        <v>262</v>
      </c>
      <c r="D46" s="236" t="s">
        <v>112</v>
      </c>
      <c r="E46" s="385">
        <v>1</v>
      </c>
      <c r="F46" s="122"/>
      <c r="G46" s="64"/>
      <c r="H46" s="93"/>
      <c r="I46" s="64"/>
      <c r="J46" s="64"/>
      <c r="K46" s="68"/>
      <c r="L46" s="112"/>
      <c r="M46" s="64"/>
      <c r="N46" s="64"/>
      <c r="O46" s="64"/>
      <c r="P46" s="68"/>
      <c r="S46" s="94"/>
    </row>
    <row r="47" spans="1:19" ht="17.850000000000001" customHeight="1" x14ac:dyDescent="0.25">
      <c r="A47" s="171"/>
      <c r="B47" s="172"/>
      <c r="C47" s="146"/>
      <c r="D47" s="236"/>
      <c r="E47" s="238"/>
      <c r="F47" s="171"/>
      <c r="G47" s="172"/>
      <c r="H47" s="172"/>
      <c r="I47" s="172"/>
      <c r="J47" s="172"/>
      <c r="K47" s="174"/>
      <c r="L47" s="175"/>
      <c r="M47" s="172"/>
      <c r="N47" s="172"/>
      <c r="O47" s="172"/>
      <c r="P47" s="174"/>
    </row>
    <row r="48" spans="1:19" ht="15.75" customHeight="1" x14ac:dyDescent="0.25">
      <c r="A48" s="176"/>
      <c r="B48" s="177"/>
      <c r="C48" s="458" t="s">
        <v>136</v>
      </c>
      <c r="D48" s="458"/>
      <c r="E48" s="458"/>
      <c r="F48" s="458"/>
      <c r="G48" s="458"/>
      <c r="H48" s="458"/>
      <c r="I48" s="458"/>
      <c r="J48" s="458"/>
      <c r="K48" s="458"/>
      <c r="L48" s="178">
        <f>SUM(L21:L46)</f>
        <v>0</v>
      </c>
      <c r="M48" s="179">
        <f>SUM(M21:M46)</f>
        <v>0</v>
      </c>
      <c r="N48" s="179">
        <f>SUM(N21:N46)</f>
        <v>0</v>
      </c>
      <c r="O48" s="179">
        <f>SUM(O21:O46)</f>
        <v>0</v>
      </c>
      <c r="P48" s="180">
        <f>SUM(P21:P46)</f>
        <v>0</v>
      </c>
    </row>
    <row r="49" spans="2:6" ht="7.9" customHeight="1" x14ac:dyDescent="0.25"/>
    <row r="50" spans="2:6" x14ac:dyDescent="0.25">
      <c r="B50" s="149" t="s">
        <v>26</v>
      </c>
      <c r="C50" s="181">
        <f>KOPTAME!C58</f>
        <v>0</v>
      </c>
      <c r="E50" s="152">
        <f>'KOPS 1'!F42</f>
        <v>0</v>
      </c>
    </row>
    <row r="51" spans="2:6" x14ac:dyDescent="0.25">
      <c r="C51" s="153" t="s">
        <v>86</v>
      </c>
      <c r="E51" s="153"/>
    </row>
    <row r="52" spans="2:6" ht="8.4499999999999993" customHeight="1" x14ac:dyDescent="0.25">
      <c r="E52" s="153"/>
    </row>
    <row r="53" spans="2:6" x14ac:dyDescent="0.25">
      <c r="B53" s="150"/>
      <c r="C53" s="182"/>
      <c r="D53" s="153"/>
      <c r="E53" s="153"/>
      <c r="F53" s="155"/>
    </row>
    <row r="54" spans="2:6" ht="6.6" customHeight="1" x14ac:dyDescent="0.25">
      <c r="E54" s="153"/>
    </row>
    <row r="55" spans="2:6" x14ac:dyDescent="0.25">
      <c r="B55" s="149" t="s">
        <v>28</v>
      </c>
      <c r="C55" s="181">
        <f>KOPTAME!C63</f>
        <v>0</v>
      </c>
      <c r="E55" s="152">
        <f>E50</f>
        <v>0</v>
      </c>
    </row>
    <row r="56" spans="2:6" x14ac:dyDescent="0.25">
      <c r="C56" s="153" t="s">
        <v>86</v>
      </c>
      <c r="E56" s="153"/>
    </row>
    <row r="57" spans="2:6" ht="7.9" customHeight="1" x14ac:dyDescent="0.25">
      <c r="E57" s="153"/>
    </row>
    <row r="58" spans="2:6" x14ac:dyDescent="0.25">
      <c r="C58" s="149">
        <f>KOPTAME!C68</f>
        <v>0</v>
      </c>
    </row>
    <row r="59" spans="2:6" ht="8.4499999999999993" customHeight="1" x14ac:dyDescent="0.25"/>
    <row r="60" spans="2:6" x14ac:dyDescent="0.25">
      <c r="C60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48:K48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5" firstPageNumber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A1:AMJ52"/>
  <sheetViews>
    <sheetView view="pageBreakPreview" topLeftCell="A21" zoomScaleNormal="100" workbookViewId="0">
      <selection activeCell="H29" sqref="H29"/>
    </sheetView>
  </sheetViews>
  <sheetFormatPr defaultColWidth="9.140625" defaultRowHeight="15" x14ac:dyDescent="0.25"/>
  <cols>
    <col min="1" max="2" width="9.140625" style="149"/>
    <col min="3" max="3" width="32.85546875" style="149" customWidth="1"/>
    <col min="4" max="4" width="7.28515625" style="149" customWidth="1"/>
    <col min="5" max="5" width="7.140625" style="149" customWidth="1"/>
    <col min="6" max="11" width="7.7109375" style="149" customWidth="1"/>
    <col min="12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x14ac:dyDescent="0.25">
      <c r="E2" s="455" t="s">
        <v>88</v>
      </c>
      <c r="F2" s="455"/>
      <c r="G2" s="455"/>
      <c r="H2" s="455"/>
      <c r="I2" s="151" t="s">
        <v>658</v>
      </c>
    </row>
    <row r="3" spans="1:16" x14ac:dyDescent="0.25">
      <c r="D3" s="456" t="s">
        <v>73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P40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47" t="s">
        <v>92</v>
      </c>
      <c r="B17" s="448" t="s">
        <v>93</v>
      </c>
      <c r="C17" s="449" t="s">
        <v>94</v>
      </c>
      <c r="D17" s="450" t="s">
        <v>95</v>
      </c>
      <c r="E17" s="451" t="s">
        <v>96</v>
      </c>
      <c r="F17" s="444" t="s">
        <v>97</v>
      </c>
      <c r="G17" s="444"/>
      <c r="H17" s="444"/>
      <c r="I17" s="444"/>
      <c r="J17" s="444"/>
      <c r="K17" s="444"/>
      <c r="L17" s="445" t="s">
        <v>98</v>
      </c>
      <c r="M17" s="445"/>
      <c r="N17" s="445"/>
      <c r="O17" s="445"/>
      <c r="P17" s="445"/>
    </row>
    <row r="18" spans="1:19" ht="58.15" customHeight="1" x14ac:dyDescent="0.25">
      <c r="A18" s="447"/>
      <c r="B18" s="448"/>
      <c r="C18" s="449"/>
      <c r="D18" s="450"/>
      <c r="E18" s="451"/>
      <c r="F18" s="156" t="s">
        <v>99</v>
      </c>
      <c r="G18" s="157" t="s">
        <v>100</v>
      </c>
      <c r="H18" s="157" t="s">
        <v>101</v>
      </c>
      <c r="I18" s="157" t="s">
        <v>102</v>
      </c>
      <c r="J18" s="157" t="s">
        <v>103</v>
      </c>
      <c r="K18" s="158" t="s">
        <v>104</v>
      </c>
      <c r="L18" s="159" t="s">
        <v>105</v>
      </c>
      <c r="M18" s="157" t="s">
        <v>101</v>
      </c>
      <c r="N18" s="157" t="s">
        <v>102</v>
      </c>
      <c r="O18" s="157" t="s">
        <v>103</v>
      </c>
      <c r="P18" s="158" t="s">
        <v>106</v>
      </c>
    </row>
    <row r="19" spans="1:19" x14ac:dyDescent="0.25">
      <c r="A19" s="160">
        <v>1</v>
      </c>
      <c r="B19" s="161">
        <v>2</v>
      </c>
      <c r="C19" s="161">
        <v>3</v>
      </c>
      <c r="D19" s="161">
        <v>4</v>
      </c>
      <c r="E19" s="162">
        <v>5</v>
      </c>
      <c r="F19" s="160">
        <v>6</v>
      </c>
      <c r="G19" s="161">
        <v>7</v>
      </c>
      <c r="H19" s="161">
        <v>8</v>
      </c>
      <c r="I19" s="161">
        <v>9</v>
      </c>
      <c r="J19" s="161">
        <v>10</v>
      </c>
      <c r="K19" s="163">
        <v>11</v>
      </c>
      <c r="L19" s="164">
        <v>12</v>
      </c>
      <c r="M19" s="161">
        <v>13</v>
      </c>
      <c r="N19" s="161">
        <v>14</v>
      </c>
      <c r="O19" s="161">
        <v>15</v>
      </c>
      <c r="P19" s="163">
        <v>16</v>
      </c>
    </row>
    <row r="20" spans="1:19" ht="28.35" customHeight="1" x14ac:dyDescent="0.25">
      <c r="A20" s="165"/>
      <c r="B20" s="166"/>
      <c r="C20" s="378" t="s">
        <v>513</v>
      </c>
      <c r="D20" s="383"/>
      <c r="E20" s="384"/>
      <c r="F20" s="165"/>
      <c r="G20" s="166"/>
      <c r="H20" s="166"/>
      <c r="I20" s="166"/>
      <c r="J20" s="166"/>
      <c r="K20" s="168"/>
      <c r="L20" s="169"/>
      <c r="M20" s="166"/>
      <c r="N20" s="166"/>
      <c r="O20" s="166"/>
      <c r="P20" s="168"/>
    </row>
    <row r="21" spans="1:19" s="58" customFormat="1" ht="30" customHeight="1" x14ac:dyDescent="0.25">
      <c r="A21" s="71">
        <v>1</v>
      </c>
      <c r="B21" s="91" t="s">
        <v>108</v>
      </c>
      <c r="C21" s="146" t="s">
        <v>860</v>
      </c>
      <c r="D21" s="236" t="s">
        <v>112</v>
      </c>
      <c r="E21" s="385">
        <v>1</v>
      </c>
      <c r="F21" s="12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33" customHeight="1" x14ac:dyDescent="0.25">
      <c r="A22" s="71">
        <v>2</v>
      </c>
      <c r="B22" s="91" t="s">
        <v>108</v>
      </c>
      <c r="C22" s="146" t="s">
        <v>861</v>
      </c>
      <c r="D22" s="236" t="s">
        <v>114</v>
      </c>
      <c r="E22" s="385">
        <v>2</v>
      </c>
      <c r="F22" s="12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33" customHeight="1" x14ac:dyDescent="0.25">
      <c r="A23" s="71">
        <v>3</v>
      </c>
      <c r="B23" s="91" t="s">
        <v>108</v>
      </c>
      <c r="C23" s="146" t="s">
        <v>862</v>
      </c>
      <c r="D23" s="236" t="s">
        <v>114</v>
      </c>
      <c r="E23" s="385">
        <v>2</v>
      </c>
      <c r="F23" s="122"/>
      <c r="G23" s="64"/>
      <c r="H23" s="93"/>
      <c r="I23" s="6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33" customHeight="1" x14ac:dyDescent="0.25">
      <c r="A24" s="71">
        <v>4</v>
      </c>
      <c r="B24" s="91" t="s">
        <v>108</v>
      </c>
      <c r="C24" s="146" t="s">
        <v>863</v>
      </c>
      <c r="D24" s="236" t="s">
        <v>114</v>
      </c>
      <c r="E24" s="385">
        <v>1</v>
      </c>
      <c r="F24" s="122"/>
      <c r="G24" s="64"/>
      <c r="H24" s="93"/>
      <c r="I24" s="7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28.35" customHeight="1" x14ac:dyDescent="0.25">
      <c r="A25" s="71">
        <v>5</v>
      </c>
      <c r="B25" s="91" t="s">
        <v>108</v>
      </c>
      <c r="C25" s="146" t="s">
        <v>864</v>
      </c>
      <c r="D25" s="236" t="s">
        <v>114</v>
      </c>
      <c r="E25" s="385">
        <v>2</v>
      </c>
      <c r="F25" s="122"/>
      <c r="G25" s="64"/>
      <c r="H25" s="93"/>
      <c r="I25" s="6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32.25" customHeight="1" x14ac:dyDescent="0.25">
      <c r="A26" s="71">
        <v>6</v>
      </c>
      <c r="B26" s="91" t="s">
        <v>108</v>
      </c>
      <c r="C26" s="146" t="s">
        <v>865</v>
      </c>
      <c r="D26" s="236" t="s">
        <v>114</v>
      </c>
      <c r="E26" s="385">
        <v>4</v>
      </c>
      <c r="F26" s="122"/>
      <c r="G26" s="64"/>
      <c r="H26" s="93"/>
      <c r="I26" s="6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27.75" customHeight="1" x14ac:dyDescent="0.25">
      <c r="A27" s="71">
        <v>7</v>
      </c>
      <c r="B27" s="91" t="s">
        <v>108</v>
      </c>
      <c r="C27" s="146" t="s">
        <v>866</v>
      </c>
      <c r="D27" s="236" t="s">
        <v>114</v>
      </c>
      <c r="E27" s="385">
        <v>2</v>
      </c>
      <c r="F27" s="122"/>
      <c r="G27" s="64"/>
      <c r="H27" s="93"/>
      <c r="I27" s="6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20.100000000000001" customHeight="1" x14ac:dyDescent="0.25">
      <c r="A28" s="71">
        <v>8</v>
      </c>
      <c r="B28" s="91" t="s">
        <v>108</v>
      </c>
      <c r="C28" s="146" t="s">
        <v>514</v>
      </c>
      <c r="D28" s="236" t="s">
        <v>114</v>
      </c>
      <c r="E28" s="385">
        <v>3</v>
      </c>
      <c r="F28" s="122"/>
      <c r="G28" s="64"/>
      <c r="H28" s="93"/>
      <c r="I28" s="64"/>
      <c r="J28" s="64"/>
      <c r="K28" s="68"/>
      <c r="L28" s="112"/>
      <c r="M28" s="64"/>
      <c r="N28" s="64"/>
      <c r="O28" s="64"/>
      <c r="P28" s="68"/>
      <c r="S28" s="94"/>
    </row>
    <row r="29" spans="1:19" s="58" customFormat="1" ht="25.9" customHeight="1" x14ac:dyDescent="0.25">
      <c r="A29" s="71">
        <v>9</v>
      </c>
      <c r="B29" s="91" t="s">
        <v>108</v>
      </c>
      <c r="C29" s="146" t="s">
        <v>867</v>
      </c>
      <c r="D29" s="236" t="s">
        <v>112</v>
      </c>
      <c r="E29" s="385">
        <v>1</v>
      </c>
      <c r="F29" s="122"/>
      <c r="G29" s="64"/>
      <c r="H29" s="93"/>
      <c r="I29" s="74"/>
      <c r="J29" s="64"/>
      <c r="K29" s="68"/>
      <c r="L29" s="112"/>
      <c r="M29" s="64"/>
      <c r="N29" s="64"/>
      <c r="O29" s="64"/>
      <c r="P29" s="68"/>
      <c r="S29" s="94"/>
    </row>
    <row r="30" spans="1:19" s="58" customFormat="1" ht="25.9" customHeight="1" x14ac:dyDescent="0.25">
      <c r="A30" s="71">
        <v>10</v>
      </c>
      <c r="B30" s="91" t="s">
        <v>108</v>
      </c>
      <c r="C30" s="146" t="s">
        <v>868</v>
      </c>
      <c r="D30" s="236" t="s">
        <v>114</v>
      </c>
      <c r="E30" s="385">
        <v>10</v>
      </c>
      <c r="F30" s="122"/>
      <c r="G30" s="64"/>
      <c r="H30" s="93"/>
      <c r="I30" s="74"/>
      <c r="J30" s="64"/>
      <c r="K30" s="68"/>
      <c r="L30" s="112"/>
      <c r="M30" s="64"/>
      <c r="N30" s="64"/>
      <c r="O30" s="64"/>
      <c r="P30" s="68"/>
      <c r="S30" s="94"/>
    </row>
    <row r="31" spans="1:19" s="58" customFormat="1" ht="25.9" customHeight="1" x14ac:dyDescent="0.25">
      <c r="A31" s="71">
        <v>11</v>
      </c>
      <c r="B31" s="91" t="s">
        <v>108</v>
      </c>
      <c r="C31" s="146" t="s">
        <v>869</v>
      </c>
      <c r="D31" s="236" t="s">
        <v>114</v>
      </c>
      <c r="E31" s="385">
        <v>13</v>
      </c>
      <c r="F31" s="122"/>
      <c r="G31" s="64"/>
      <c r="H31" s="93"/>
      <c r="I31" s="64"/>
      <c r="J31" s="64"/>
      <c r="K31" s="68"/>
      <c r="L31" s="112"/>
      <c r="M31" s="64"/>
      <c r="N31" s="64"/>
      <c r="O31" s="64"/>
      <c r="P31" s="68"/>
      <c r="S31" s="94"/>
    </row>
    <row r="32" spans="1:19" s="58" customFormat="1" ht="19.350000000000001" customHeight="1" x14ac:dyDescent="0.25">
      <c r="A32" s="71">
        <v>12</v>
      </c>
      <c r="B32" s="91" t="s">
        <v>108</v>
      </c>
      <c r="C32" s="146" t="s">
        <v>870</v>
      </c>
      <c r="D32" s="236" t="s">
        <v>114</v>
      </c>
      <c r="E32" s="385">
        <v>1</v>
      </c>
      <c r="F32" s="122"/>
      <c r="G32" s="64"/>
      <c r="H32" s="93"/>
      <c r="I32" s="64"/>
      <c r="J32" s="64"/>
      <c r="K32" s="68"/>
      <c r="L32" s="112"/>
      <c r="M32" s="64"/>
      <c r="N32" s="64"/>
      <c r="O32" s="64"/>
      <c r="P32" s="68"/>
      <c r="S32" s="94"/>
    </row>
    <row r="33" spans="1:19" s="58" customFormat="1" ht="30.75" customHeight="1" x14ac:dyDescent="0.25">
      <c r="A33" s="71">
        <v>13</v>
      </c>
      <c r="B33" s="91" t="s">
        <v>108</v>
      </c>
      <c r="C33" s="146" t="s">
        <v>840</v>
      </c>
      <c r="D33" s="236" t="s">
        <v>114</v>
      </c>
      <c r="E33" s="385">
        <v>1</v>
      </c>
      <c r="F33" s="122"/>
      <c r="G33" s="64"/>
      <c r="H33" s="93"/>
      <c r="I33" s="64"/>
      <c r="J33" s="64"/>
      <c r="K33" s="68"/>
      <c r="L33" s="112"/>
      <c r="M33" s="64"/>
      <c r="N33" s="64"/>
      <c r="O33" s="64"/>
      <c r="P33" s="68"/>
      <c r="S33" s="94"/>
    </row>
    <row r="34" spans="1:19" s="58" customFormat="1" ht="24.6" customHeight="1" x14ac:dyDescent="0.25">
      <c r="A34" s="71">
        <v>14</v>
      </c>
      <c r="B34" s="91" t="s">
        <v>108</v>
      </c>
      <c r="C34" s="146" t="s">
        <v>871</v>
      </c>
      <c r="D34" s="236" t="s">
        <v>110</v>
      </c>
      <c r="E34" s="385">
        <v>750</v>
      </c>
      <c r="F34" s="122"/>
      <c r="G34" s="64"/>
      <c r="H34" s="93"/>
      <c r="I34" s="74"/>
      <c r="J34" s="64"/>
      <c r="K34" s="68"/>
      <c r="L34" s="112"/>
      <c r="M34" s="64"/>
      <c r="N34" s="64"/>
      <c r="O34" s="64"/>
      <c r="P34" s="68"/>
      <c r="S34" s="94"/>
    </row>
    <row r="35" spans="1:19" s="58" customFormat="1" ht="19.350000000000001" customHeight="1" x14ac:dyDescent="0.25">
      <c r="A35" s="71">
        <v>15</v>
      </c>
      <c r="B35" s="91" t="s">
        <v>108</v>
      </c>
      <c r="C35" s="146" t="s">
        <v>515</v>
      </c>
      <c r="D35" s="236" t="s">
        <v>110</v>
      </c>
      <c r="E35" s="385">
        <v>25</v>
      </c>
      <c r="F35" s="122"/>
      <c r="G35" s="64"/>
      <c r="H35" s="93"/>
      <c r="I35" s="74"/>
      <c r="J35" s="64"/>
      <c r="K35" s="68"/>
      <c r="L35" s="112"/>
      <c r="M35" s="64"/>
      <c r="N35" s="64"/>
      <c r="O35" s="64"/>
      <c r="P35" s="68"/>
      <c r="S35" s="94"/>
    </row>
    <row r="36" spans="1:19" s="58" customFormat="1" ht="27.6" customHeight="1" x14ac:dyDescent="0.25">
      <c r="A36" s="71">
        <v>16</v>
      </c>
      <c r="B36" s="91" t="s">
        <v>108</v>
      </c>
      <c r="C36" s="146" t="s">
        <v>835</v>
      </c>
      <c r="D36" s="236" t="s">
        <v>110</v>
      </c>
      <c r="E36" s="385">
        <v>150</v>
      </c>
      <c r="F36" s="122"/>
      <c r="G36" s="64"/>
      <c r="H36" s="93"/>
      <c r="I36" s="64"/>
      <c r="J36" s="64"/>
      <c r="K36" s="68"/>
      <c r="L36" s="112"/>
      <c r="M36" s="64"/>
      <c r="N36" s="64"/>
      <c r="O36" s="64"/>
      <c r="P36" s="68"/>
      <c r="S36" s="94"/>
    </row>
    <row r="37" spans="1:19" s="58" customFormat="1" ht="29.25" customHeight="1" x14ac:dyDescent="0.25">
      <c r="A37" s="71">
        <v>17</v>
      </c>
      <c r="B37" s="91" t="s">
        <v>108</v>
      </c>
      <c r="C37" s="146" t="s">
        <v>839</v>
      </c>
      <c r="D37" s="236" t="s">
        <v>114</v>
      </c>
      <c r="E37" s="385">
        <v>1</v>
      </c>
      <c r="F37" s="122"/>
      <c r="G37" s="64"/>
      <c r="H37" s="93"/>
      <c r="I37" s="64"/>
      <c r="J37" s="64"/>
      <c r="K37" s="68"/>
      <c r="L37" s="112"/>
      <c r="M37" s="64"/>
      <c r="N37" s="64"/>
      <c r="O37" s="64"/>
      <c r="P37" s="68"/>
      <c r="S37" s="94"/>
    </row>
    <row r="38" spans="1:19" s="58" customFormat="1" ht="17.850000000000001" customHeight="1" x14ac:dyDescent="0.25">
      <c r="A38" s="71">
        <v>18</v>
      </c>
      <c r="B38" s="91" t="s">
        <v>108</v>
      </c>
      <c r="C38" s="146" t="s">
        <v>262</v>
      </c>
      <c r="D38" s="236" t="s">
        <v>112</v>
      </c>
      <c r="E38" s="385">
        <v>1</v>
      </c>
      <c r="F38" s="122"/>
      <c r="G38" s="64"/>
      <c r="H38" s="93"/>
      <c r="I38" s="64"/>
      <c r="J38" s="64"/>
      <c r="K38" s="68"/>
      <c r="L38" s="112"/>
      <c r="M38" s="64"/>
      <c r="N38" s="64"/>
      <c r="O38" s="64"/>
      <c r="P38" s="68"/>
      <c r="S38" s="94"/>
    </row>
    <row r="39" spans="1:19" ht="17.850000000000001" customHeight="1" x14ac:dyDescent="0.25">
      <c r="A39" s="171"/>
      <c r="B39" s="172"/>
      <c r="C39" s="146"/>
      <c r="D39" s="236"/>
      <c r="E39" s="238"/>
      <c r="F39" s="171"/>
      <c r="G39" s="172"/>
      <c r="H39" s="172"/>
      <c r="I39" s="172"/>
      <c r="J39" s="172"/>
      <c r="K39" s="174"/>
      <c r="L39" s="175"/>
      <c r="M39" s="172"/>
      <c r="N39" s="172"/>
      <c r="O39" s="172"/>
      <c r="P39" s="174"/>
    </row>
    <row r="40" spans="1:19" ht="15.75" customHeight="1" x14ac:dyDescent="0.25">
      <c r="A40" s="176"/>
      <c r="B40" s="177"/>
      <c r="C40" s="458" t="s">
        <v>136</v>
      </c>
      <c r="D40" s="458"/>
      <c r="E40" s="458"/>
      <c r="F40" s="458"/>
      <c r="G40" s="458"/>
      <c r="H40" s="458"/>
      <c r="I40" s="458"/>
      <c r="J40" s="458"/>
      <c r="K40" s="458"/>
      <c r="L40" s="178">
        <f>SUM(L21:L38)</f>
        <v>0</v>
      </c>
      <c r="M40" s="179">
        <f>SUM(M21:M38)</f>
        <v>0</v>
      </c>
      <c r="N40" s="179">
        <f>SUM(N21:N38)</f>
        <v>0</v>
      </c>
      <c r="O40" s="179">
        <f>SUM(O21:O38)</f>
        <v>0</v>
      </c>
      <c r="P40" s="180">
        <f>SUM(P21:P38)</f>
        <v>0</v>
      </c>
    </row>
    <row r="41" spans="1:19" ht="7.9" customHeight="1" x14ac:dyDescent="0.25"/>
    <row r="42" spans="1:19" x14ac:dyDescent="0.25">
      <c r="B42" s="149" t="s">
        <v>26</v>
      </c>
      <c r="C42" s="181">
        <f>KOPTAME!C58</f>
        <v>0</v>
      </c>
      <c r="E42" s="152">
        <f>'KOPS 1'!F42</f>
        <v>0</v>
      </c>
    </row>
    <row r="43" spans="1:19" x14ac:dyDescent="0.25">
      <c r="C43" s="153" t="s">
        <v>86</v>
      </c>
      <c r="E43" s="153"/>
    </row>
    <row r="44" spans="1:19" ht="8.4499999999999993" customHeight="1" x14ac:dyDescent="0.25">
      <c r="E44" s="153"/>
    </row>
    <row r="45" spans="1:19" x14ac:dyDescent="0.25">
      <c r="B45" s="150"/>
      <c r="C45" s="182"/>
      <c r="D45" s="153"/>
      <c r="E45" s="153"/>
      <c r="F45" s="155"/>
    </row>
    <row r="46" spans="1:19" ht="6.6" customHeight="1" x14ac:dyDescent="0.25">
      <c r="E46" s="153"/>
    </row>
    <row r="47" spans="1:19" x14ac:dyDescent="0.25">
      <c r="B47" s="149" t="s">
        <v>28</v>
      </c>
      <c r="C47" s="181">
        <f>KOPTAME!C63</f>
        <v>0</v>
      </c>
      <c r="E47" s="152">
        <f>E42</f>
        <v>0</v>
      </c>
    </row>
    <row r="48" spans="1:19" x14ac:dyDescent="0.25">
      <c r="C48" s="153" t="s">
        <v>86</v>
      </c>
      <c r="E48" s="153"/>
    </row>
    <row r="49" spans="3:5" ht="7.9" customHeight="1" x14ac:dyDescent="0.25">
      <c r="E49" s="153"/>
    </row>
    <row r="50" spans="3:5" x14ac:dyDescent="0.25">
      <c r="C50" s="149">
        <f>KOPTAME!C68</f>
        <v>0</v>
      </c>
    </row>
    <row r="51" spans="3:5" ht="8.4499999999999993" customHeight="1" x14ac:dyDescent="0.25"/>
    <row r="52" spans="3:5" x14ac:dyDescent="0.25">
      <c r="C52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40:K40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5" firstPageNumber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AMJ39"/>
  <sheetViews>
    <sheetView view="pageBreakPreview" topLeftCell="A15" zoomScaleNormal="100" workbookViewId="0">
      <selection activeCell="H35" sqref="H35"/>
    </sheetView>
  </sheetViews>
  <sheetFormatPr defaultColWidth="9.140625" defaultRowHeight="15" x14ac:dyDescent="0.25"/>
  <cols>
    <col min="1" max="1" width="9.140625" style="149"/>
    <col min="2" max="2" width="8.28515625" style="149" customWidth="1"/>
    <col min="3" max="3" width="32.85546875" style="149" customWidth="1"/>
    <col min="4" max="4" width="7.28515625" style="149" customWidth="1"/>
    <col min="5" max="5" width="7.140625" style="149" customWidth="1"/>
    <col min="6" max="11" width="7.7109375" style="149" customWidth="1"/>
    <col min="12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x14ac:dyDescent="0.25">
      <c r="E2" s="455" t="s">
        <v>88</v>
      </c>
      <c r="F2" s="455"/>
      <c r="G2" s="455"/>
      <c r="H2" s="455"/>
      <c r="I2" s="151" t="s">
        <v>659</v>
      </c>
    </row>
    <row r="3" spans="1:16" x14ac:dyDescent="0.25">
      <c r="D3" s="456" t="s">
        <v>74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P27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47" t="s">
        <v>92</v>
      </c>
      <c r="B17" s="448" t="s">
        <v>93</v>
      </c>
      <c r="C17" s="449" t="s">
        <v>94</v>
      </c>
      <c r="D17" s="450" t="s">
        <v>95</v>
      </c>
      <c r="E17" s="451" t="s">
        <v>96</v>
      </c>
      <c r="F17" s="444" t="s">
        <v>97</v>
      </c>
      <c r="G17" s="444"/>
      <c r="H17" s="444"/>
      <c r="I17" s="444"/>
      <c r="J17" s="444"/>
      <c r="K17" s="444"/>
      <c r="L17" s="445" t="s">
        <v>98</v>
      </c>
      <c r="M17" s="445"/>
      <c r="N17" s="445"/>
      <c r="O17" s="445"/>
      <c r="P17" s="445"/>
    </row>
    <row r="18" spans="1:19" ht="58.15" customHeight="1" x14ac:dyDescent="0.25">
      <c r="A18" s="447"/>
      <c r="B18" s="448"/>
      <c r="C18" s="449"/>
      <c r="D18" s="450"/>
      <c r="E18" s="451"/>
      <c r="F18" s="156" t="s">
        <v>99</v>
      </c>
      <c r="G18" s="157" t="s">
        <v>100</v>
      </c>
      <c r="H18" s="157" t="s">
        <v>101</v>
      </c>
      <c r="I18" s="157" t="s">
        <v>102</v>
      </c>
      <c r="J18" s="157" t="s">
        <v>103</v>
      </c>
      <c r="K18" s="158" t="s">
        <v>104</v>
      </c>
      <c r="L18" s="159" t="s">
        <v>105</v>
      </c>
      <c r="M18" s="157" t="s">
        <v>101</v>
      </c>
      <c r="N18" s="157" t="s">
        <v>102</v>
      </c>
      <c r="O18" s="157" t="s">
        <v>103</v>
      </c>
      <c r="P18" s="158" t="s">
        <v>106</v>
      </c>
    </row>
    <row r="19" spans="1:19" x14ac:dyDescent="0.25">
      <c r="A19" s="160">
        <v>1</v>
      </c>
      <c r="B19" s="161">
        <v>2</v>
      </c>
      <c r="C19" s="161">
        <v>3</v>
      </c>
      <c r="D19" s="161">
        <v>4</v>
      </c>
      <c r="E19" s="162">
        <v>5</v>
      </c>
      <c r="F19" s="160">
        <v>6</v>
      </c>
      <c r="G19" s="161">
        <v>7</v>
      </c>
      <c r="H19" s="161">
        <v>8</v>
      </c>
      <c r="I19" s="161">
        <v>9</v>
      </c>
      <c r="J19" s="161">
        <v>10</v>
      </c>
      <c r="K19" s="163">
        <v>11</v>
      </c>
      <c r="L19" s="164">
        <v>12</v>
      </c>
      <c r="M19" s="161">
        <v>13</v>
      </c>
      <c r="N19" s="161">
        <v>14</v>
      </c>
      <c r="O19" s="161">
        <v>15</v>
      </c>
      <c r="P19" s="163">
        <v>16</v>
      </c>
    </row>
    <row r="20" spans="1:19" ht="40.15" customHeight="1" x14ac:dyDescent="0.25">
      <c r="A20" s="165"/>
      <c r="B20" s="166"/>
      <c r="C20" s="378" t="s">
        <v>516</v>
      </c>
      <c r="D20" s="383"/>
      <c r="E20" s="384"/>
      <c r="F20" s="165"/>
      <c r="G20" s="166"/>
      <c r="H20" s="166"/>
      <c r="I20" s="166"/>
      <c r="J20" s="166"/>
      <c r="K20" s="168"/>
      <c r="L20" s="169"/>
      <c r="M20" s="166"/>
      <c r="N20" s="166"/>
      <c r="O20" s="166"/>
      <c r="P20" s="168"/>
    </row>
    <row r="21" spans="1:19" s="58" customFormat="1" ht="60" customHeight="1" x14ac:dyDescent="0.25">
      <c r="A21" s="71">
        <v>1</v>
      </c>
      <c r="B21" s="91" t="s">
        <v>108</v>
      </c>
      <c r="C21" s="146" t="s">
        <v>872</v>
      </c>
      <c r="D21" s="236" t="s">
        <v>112</v>
      </c>
      <c r="E21" s="385">
        <v>1</v>
      </c>
      <c r="F21" s="12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20.100000000000001" customHeight="1" x14ac:dyDescent="0.25">
      <c r="A22" s="71">
        <v>2</v>
      </c>
      <c r="B22" s="91" t="s">
        <v>108</v>
      </c>
      <c r="C22" s="146" t="s">
        <v>873</v>
      </c>
      <c r="D22" s="236" t="s">
        <v>110</v>
      </c>
      <c r="E22" s="385">
        <v>20</v>
      </c>
      <c r="F22" s="122"/>
      <c r="G22" s="64"/>
      <c r="H22" s="93"/>
      <c r="I22" s="7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20.100000000000001" customHeight="1" x14ac:dyDescent="0.25">
      <c r="A23" s="71">
        <v>3</v>
      </c>
      <c r="B23" s="91" t="s">
        <v>108</v>
      </c>
      <c r="C23" s="146" t="s">
        <v>515</v>
      </c>
      <c r="D23" s="236" t="s">
        <v>110</v>
      </c>
      <c r="E23" s="385">
        <v>25</v>
      </c>
      <c r="F23" s="122"/>
      <c r="G23" s="64"/>
      <c r="H23" s="93"/>
      <c r="I23" s="7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29.1" customHeight="1" x14ac:dyDescent="0.25">
      <c r="A24" s="71">
        <v>4</v>
      </c>
      <c r="B24" s="91" t="s">
        <v>108</v>
      </c>
      <c r="C24" s="146" t="s">
        <v>835</v>
      </c>
      <c r="D24" s="236" t="s">
        <v>110</v>
      </c>
      <c r="E24" s="385">
        <v>15</v>
      </c>
      <c r="F24" s="122"/>
      <c r="G24" s="64"/>
      <c r="H24" s="93"/>
      <c r="I24" s="6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20.100000000000001" customHeight="1" x14ac:dyDescent="0.25">
      <c r="A25" s="71">
        <v>5</v>
      </c>
      <c r="B25" s="91" t="s">
        <v>108</v>
      </c>
      <c r="C25" s="146" t="s">
        <v>262</v>
      </c>
      <c r="D25" s="236" t="s">
        <v>112</v>
      </c>
      <c r="E25" s="385">
        <v>1</v>
      </c>
      <c r="F25" s="122"/>
      <c r="G25" s="64"/>
      <c r="H25" s="93"/>
      <c r="I25" s="64"/>
      <c r="J25" s="64"/>
      <c r="K25" s="68"/>
      <c r="L25" s="112"/>
      <c r="M25" s="64"/>
      <c r="N25" s="64"/>
      <c r="O25" s="64"/>
      <c r="P25" s="68"/>
      <c r="S25" s="94"/>
    </row>
    <row r="26" spans="1:19" ht="17.850000000000001" customHeight="1" x14ac:dyDescent="0.25">
      <c r="A26" s="171"/>
      <c r="B26" s="172"/>
      <c r="C26" s="146"/>
      <c r="D26" s="236"/>
      <c r="E26" s="238"/>
      <c r="F26" s="171"/>
      <c r="G26" s="172"/>
      <c r="H26" s="172"/>
      <c r="I26" s="172"/>
      <c r="J26" s="172"/>
      <c r="K26" s="174"/>
      <c r="L26" s="175"/>
      <c r="M26" s="172"/>
      <c r="N26" s="172"/>
      <c r="O26" s="172"/>
      <c r="P26" s="174"/>
    </row>
    <row r="27" spans="1:19" ht="15.75" customHeight="1" x14ac:dyDescent="0.25">
      <c r="A27" s="176"/>
      <c r="B27" s="177"/>
      <c r="C27" s="458" t="s">
        <v>136</v>
      </c>
      <c r="D27" s="458"/>
      <c r="E27" s="458"/>
      <c r="F27" s="458"/>
      <c r="G27" s="458"/>
      <c r="H27" s="458"/>
      <c r="I27" s="458"/>
      <c r="J27" s="458"/>
      <c r="K27" s="458"/>
      <c r="L27" s="178">
        <f>SUM(L21:L25)</f>
        <v>0</v>
      </c>
      <c r="M27" s="179">
        <f>SUM(M21:M25)</f>
        <v>0</v>
      </c>
      <c r="N27" s="179">
        <f>SUM(N21:N25)</f>
        <v>0</v>
      </c>
      <c r="O27" s="179">
        <f>SUM(O21:O25)</f>
        <v>0</v>
      </c>
      <c r="P27" s="180">
        <f>SUM(P21:P25)</f>
        <v>0</v>
      </c>
    </row>
    <row r="28" spans="1:19" ht="7.9" customHeight="1" x14ac:dyDescent="0.25"/>
    <row r="29" spans="1:19" x14ac:dyDescent="0.25">
      <c r="B29" s="149" t="s">
        <v>26</v>
      </c>
      <c r="C29" s="181">
        <f>KOPTAME!C58</f>
        <v>0</v>
      </c>
      <c r="E29" s="152">
        <f>'KOPS 1'!F42</f>
        <v>0</v>
      </c>
    </row>
    <row r="30" spans="1:19" x14ac:dyDescent="0.25">
      <c r="C30" s="153" t="s">
        <v>86</v>
      </c>
      <c r="E30" s="153"/>
    </row>
    <row r="31" spans="1:19" ht="8.4499999999999993" customHeight="1" x14ac:dyDescent="0.25">
      <c r="E31" s="153"/>
    </row>
    <row r="32" spans="1:19" x14ac:dyDescent="0.25">
      <c r="B32" s="150"/>
      <c r="C32" s="182"/>
      <c r="D32" s="153"/>
      <c r="E32" s="153"/>
      <c r="F32" s="155"/>
    </row>
    <row r="33" spans="2:5" ht="6.6" customHeight="1" x14ac:dyDescent="0.25">
      <c r="E33" s="153"/>
    </row>
    <row r="34" spans="2:5" x14ac:dyDescent="0.25">
      <c r="B34" s="149" t="s">
        <v>28</v>
      </c>
      <c r="C34" s="181">
        <f>KOPTAME!C63</f>
        <v>0</v>
      </c>
      <c r="E34" s="152">
        <f>E29</f>
        <v>0</v>
      </c>
    </row>
    <row r="35" spans="2:5" x14ac:dyDescent="0.25">
      <c r="C35" s="153" t="s">
        <v>86</v>
      </c>
      <c r="E35" s="153"/>
    </row>
    <row r="36" spans="2:5" ht="7.9" customHeight="1" x14ac:dyDescent="0.25">
      <c r="E36" s="153"/>
    </row>
    <row r="37" spans="2:5" x14ac:dyDescent="0.25">
      <c r="C37" s="149">
        <f>KOPTAME!C68</f>
        <v>0</v>
      </c>
    </row>
    <row r="38" spans="2:5" ht="8.4499999999999993" customHeight="1" x14ac:dyDescent="0.25"/>
    <row r="39" spans="2:5" x14ac:dyDescent="0.25">
      <c r="C39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27:K27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5" firstPageNumber="0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A1:AMJ42"/>
  <sheetViews>
    <sheetView view="pageBreakPreview" topLeftCell="A13" zoomScaleNormal="100" workbookViewId="0">
      <selection activeCell="H25" sqref="H25"/>
    </sheetView>
  </sheetViews>
  <sheetFormatPr defaultColWidth="9.140625" defaultRowHeight="15" x14ac:dyDescent="0.25"/>
  <cols>
    <col min="1" max="1" width="9.140625" style="149"/>
    <col min="2" max="2" width="8.28515625" style="149" customWidth="1"/>
    <col min="3" max="3" width="32.85546875" style="149" customWidth="1"/>
    <col min="4" max="4" width="7.28515625" style="149" customWidth="1"/>
    <col min="5" max="5" width="7.140625" style="149" customWidth="1"/>
    <col min="6" max="11" width="7.7109375" style="149" customWidth="1"/>
    <col min="12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x14ac:dyDescent="0.25">
      <c r="E2" s="455" t="s">
        <v>88</v>
      </c>
      <c r="F2" s="455"/>
      <c r="G2" s="455"/>
      <c r="H2" s="455"/>
      <c r="I2" s="151" t="s">
        <v>660</v>
      </c>
    </row>
    <row r="3" spans="1:16" x14ac:dyDescent="0.25">
      <c r="D3" s="456" t="s">
        <v>75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P30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47" t="s">
        <v>92</v>
      </c>
      <c r="B17" s="448" t="s">
        <v>93</v>
      </c>
      <c r="C17" s="449" t="s">
        <v>94</v>
      </c>
      <c r="D17" s="450" t="s">
        <v>95</v>
      </c>
      <c r="E17" s="451" t="s">
        <v>96</v>
      </c>
      <c r="F17" s="444" t="s">
        <v>97</v>
      </c>
      <c r="G17" s="444"/>
      <c r="H17" s="444"/>
      <c r="I17" s="444"/>
      <c r="J17" s="444"/>
      <c r="K17" s="444"/>
      <c r="L17" s="445" t="s">
        <v>98</v>
      </c>
      <c r="M17" s="445"/>
      <c r="N17" s="445"/>
      <c r="O17" s="445"/>
      <c r="P17" s="445"/>
    </row>
    <row r="18" spans="1:19" ht="58.15" customHeight="1" x14ac:dyDescent="0.25">
      <c r="A18" s="447"/>
      <c r="B18" s="448"/>
      <c r="C18" s="449"/>
      <c r="D18" s="450"/>
      <c r="E18" s="451"/>
      <c r="F18" s="156" t="s">
        <v>99</v>
      </c>
      <c r="G18" s="157" t="s">
        <v>100</v>
      </c>
      <c r="H18" s="157" t="s">
        <v>101</v>
      </c>
      <c r="I18" s="157" t="s">
        <v>102</v>
      </c>
      <c r="J18" s="157" t="s">
        <v>103</v>
      </c>
      <c r="K18" s="158" t="s">
        <v>104</v>
      </c>
      <c r="L18" s="159" t="s">
        <v>105</v>
      </c>
      <c r="M18" s="157" t="s">
        <v>101</v>
      </c>
      <c r="N18" s="157" t="s">
        <v>102</v>
      </c>
      <c r="O18" s="157" t="s">
        <v>103</v>
      </c>
      <c r="P18" s="158" t="s">
        <v>106</v>
      </c>
    </row>
    <row r="19" spans="1:19" x14ac:dyDescent="0.25">
      <c r="A19" s="160">
        <v>1</v>
      </c>
      <c r="B19" s="161">
        <v>2</v>
      </c>
      <c r="C19" s="161">
        <v>3</v>
      </c>
      <c r="D19" s="161">
        <v>4</v>
      </c>
      <c r="E19" s="162">
        <v>5</v>
      </c>
      <c r="F19" s="160">
        <v>6</v>
      </c>
      <c r="G19" s="161">
        <v>7</v>
      </c>
      <c r="H19" s="161">
        <v>8</v>
      </c>
      <c r="I19" s="161">
        <v>9</v>
      </c>
      <c r="J19" s="161">
        <v>10</v>
      </c>
      <c r="K19" s="163">
        <v>11</v>
      </c>
      <c r="L19" s="164">
        <v>12</v>
      </c>
      <c r="M19" s="161">
        <v>13</v>
      </c>
      <c r="N19" s="161">
        <v>14</v>
      </c>
      <c r="O19" s="161">
        <v>15</v>
      </c>
      <c r="P19" s="163">
        <v>16</v>
      </c>
    </row>
    <row r="20" spans="1:19" ht="28.35" customHeight="1" x14ac:dyDescent="0.25">
      <c r="A20" s="165"/>
      <c r="B20" s="166"/>
      <c r="C20" s="378" t="s">
        <v>517</v>
      </c>
      <c r="D20" s="166"/>
      <c r="E20" s="167"/>
      <c r="F20" s="165"/>
      <c r="G20" s="166"/>
      <c r="H20" s="166"/>
      <c r="I20" s="166"/>
      <c r="J20" s="166"/>
      <c r="K20" s="168"/>
      <c r="L20" s="169"/>
      <c r="M20" s="166"/>
      <c r="N20" s="166"/>
      <c r="O20" s="166"/>
      <c r="P20" s="168"/>
    </row>
    <row r="21" spans="1:19" s="58" customFormat="1" ht="33" customHeight="1" x14ac:dyDescent="0.25">
      <c r="A21" s="71">
        <v>1</v>
      </c>
      <c r="B21" s="91" t="s">
        <v>108</v>
      </c>
      <c r="C21" s="146" t="s">
        <v>874</v>
      </c>
      <c r="D21" s="236" t="s">
        <v>112</v>
      </c>
      <c r="E21" s="385">
        <v>2</v>
      </c>
      <c r="F21" s="12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35.25" customHeight="1" x14ac:dyDescent="0.25">
      <c r="A22" s="71">
        <v>2</v>
      </c>
      <c r="B22" s="91" t="s">
        <v>108</v>
      </c>
      <c r="C22" s="146" t="s">
        <v>864</v>
      </c>
      <c r="D22" s="236" t="s">
        <v>114</v>
      </c>
      <c r="E22" s="385">
        <v>1</v>
      </c>
      <c r="F22" s="12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30.75" customHeight="1" x14ac:dyDescent="0.25">
      <c r="A23" s="71">
        <v>3</v>
      </c>
      <c r="B23" s="91" t="s">
        <v>108</v>
      </c>
      <c r="C23" s="146" t="s">
        <v>875</v>
      </c>
      <c r="D23" s="236" t="s">
        <v>114</v>
      </c>
      <c r="E23" s="385">
        <v>2</v>
      </c>
      <c r="F23" s="122"/>
      <c r="G23" s="64"/>
      <c r="H23" s="93"/>
      <c r="I23" s="7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29.1" customHeight="1" x14ac:dyDescent="0.25">
      <c r="A24" s="71">
        <v>4</v>
      </c>
      <c r="B24" s="91" t="s">
        <v>108</v>
      </c>
      <c r="C24" s="146" t="s">
        <v>876</v>
      </c>
      <c r="D24" s="236" t="s">
        <v>114</v>
      </c>
      <c r="E24" s="385">
        <v>1</v>
      </c>
      <c r="F24" s="122"/>
      <c r="G24" s="64"/>
      <c r="H24" s="93"/>
      <c r="I24" s="6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20.100000000000001" customHeight="1" x14ac:dyDescent="0.25">
      <c r="A25" s="71">
        <v>5</v>
      </c>
      <c r="B25" s="91" t="s">
        <v>108</v>
      </c>
      <c r="C25" s="146" t="s">
        <v>879</v>
      </c>
      <c r="D25" s="236" t="s">
        <v>110</v>
      </c>
      <c r="E25" s="385">
        <v>30</v>
      </c>
      <c r="F25" s="122"/>
      <c r="G25" s="64"/>
      <c r="H25" s="93"/>
      <c r="I25" s="6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31.5" customHeight="1" x14ac:dyDescent="0.25">
      <c r="A26" s="71">
        <v>6</v>
      </c>
      <c r="B26" s="91" t="s">
        <v>108</v>
      </c>
      <c r="C26" s="146" t="s">
        <v>877</v>
      </c>
      <c r="D26" s="236" t="s">
        <v>110</v>
      </c>
      <c r="E26" s="385">
        <v>50</v>
      </c>
      <c r="F26" s="122"/>
      <c r="G26" s="64"/>
      <c r="H26" s="93"/>
      <c r="I26" s="7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20.100000000000001" customHeight="1" x14ac:dyDescent="0.25">
      <c r="A27" s="71">
        <v>7</v>
      </c>
      <c r="B27" s="91" t="s">
        <v>108</v>
      </c>
      <c r="C27" s="146" t="s">
        <v>839</v>
      </c>
      <c r="D27" s="236" t="s">
        <v>114</v>
      </c>
      <c r="E27" s="385">
        <v>1</v>
      </c>
      <c r="F27" s="122"/>
      <c r="G27" s="64"/>
      <c r="H27" s="93"/>
      <c r="I27" s="6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20.100000000000001" customHeight="1" x14ac:dyDescent="0.25">
      <c r="A28" s="71">
        <v>8</v>
      </c>
      <c r="B28" s="91" t="s">
        <v>108</v>
      </c>
      <c r="C28" s="146" t="s">
        <v>262</v>
      </c>
      <c r="D28" s="236" t="s">
        <v>112</v>
      </c>
      <c r="E28" s="385">
        <v>1</v>
      </c>
      <c r="F28" s="122"/>
      <c r="G28" s="64"/>
      <c r="H28" s="93"/>
      <c r="I28" s="64"/>
      <c r="J28" s="64"/>
      <c r="K28" s="68"/>
      <c r="L28" s="112"/>
      <c r="M28" s="64"/>
      <c r="N28" s="64"/>
      <c r="O28" s="64"/>
      <c r="P28" s="68"/>
      <c r="S28" s="94"/>
    </row>
    <row r="29" spans="1:19" ht="17.850000000000001" customHeight="1" x14ac:dyDescent="0.25">
      <c r="A29" s="171"/>
      <c r="B29" s="172"/>
      <c r="C29" s="146"/>
      <c r="D29" s="236"/>
      <c r="E29" s="238"/>
      <c r="F29" s="171"/>
      <c r="G29" s="172"/>
      <c r="H29" s="172"/>
      <c r="I29" s="172"/>
      <c r="J29" s="172"/>
      <c r="K29" s="174"/>
      <c r="L29" s="175"/>
      <c r="M29" s="172"/>
      <c r="N29" s="172"/>
      <c r="O29" s="172"/>
      <c r="P29" s="174"/>
    </row>
    <row r="30" spans="1:19" ht="15.75" customHeight="1" x14ac:dyDescent="0.25">
      <c r="A30" s="176"/>
      <c r="B30" s="177"/>
      <c r="C30" s="458" t="s">
        <v>136</v>
      </c>
      <c r="D30" s="458"/>
      <c r="E30" s="458"/>
      <c r="F30" s="458"/>
      <c r="G30" s="458"/>
      <c r="H30" s="458"/>
      <c r="I30" s="458"/>
      <c r="J30" s="458"/>
      <c r="K30" s="458"/>
      <c r="L30" s="178">
        <f>SUM(L21:L28)</f>
        <v>0</v>
      </c>
      <c r="M30" s="179">
        <f>SUM(M21:M28)</f>
        <v>0</v>
      </c>
      <c r="N30" s="179">
        <f>SUM(N21:N28)</f>
        <v>0</v>
      </c>
      <c r="O30" s="179">
        <f>SUM(O21:O28)</f>
        <v>0</v>
      </c>
      <c r="P30" s="180">
        <f>SUM(P21:P28)</f>
        <v>0</v>
      </c>
    </row>
    <row r="31" spans="1:19" ht="7.9" customHeight="1" x14ac:dyDescent="0.25"/>
    <row r="32" spans="1:19" x14ac:dyDescent="0.25">
      <c r="B32" s="149" t="s">
        <v>26</v>
      </c>
      <c r="C32" s="181">
        <f>KOPTAME!C58</f>
        <v>0</v>
      </c>
      <c r="E32" s="152">
        <f>'KOPS 1'!F42</f>
        <v>0</v>
      </c>
    </row>
    <row r="33" spans="2:6" x14ac:dyDescent="0.25">
      <c r="C33" s="153" t="s">
        <v>86</v>
      </c>
      <c r="E33" s="153"/>
    </row>
    <row r="34" spans="2:6" ht="8.4499999999999993" customHeight="1" x14ac:dyDescent="0.25">
      <c r="E34" s="153"/>
    </row>
    <row r="35" spans="2:6" x14ac:dyDescent="0.25">
      <c r="B35" s="150"/>
      <c r="C35" s="182"/>
      <c r="D35" s="153"/>
      <c r="E35" s="153"/>
      <c r="F35" s="155"/>
    </row>
    <row r="36" spans="2:6" ht="6.6" customHeight="1" x14ac:dyDescent="0.25">
      <c r="E36" s="153"/>
    </row>
    <row r="37" spans="2:6" x14ac:dyDescent="0.25">
      <c r="B37" s="149" t="s">
        <v>28</v>
      </c>
      <c r="C37" s="181">
        <f>KOPTAME!C63</f>
        <v>0</v>
      </c>
      <c r="E37" s="152">
        <f>E32</f>
        <v>0</v>
      </c>
    </row>
    <row r="38" spans="2:6" x14ac:dyDescent="0.25">
      <c r="C38" s="153" t="s">
        <v>86</v>
      </c>
      <c r="E38" s="153"/>
    </row>
    <row r="39" spans="2:6" ht="7.9" customHeight="1" x14ac:dyDescent="0.25">
      <c r="E39" s="153"/>
    </row>
    <row r="40" spans="2:6" x14ac:dyDescent="0.25">
      <c r="C40" s="149">
        <f>KOPTAME!C68</f>
        <v>0</v>
      </c>
    </row>
    <row r="41" spans="2:6" ht="8.4499999999999993" customHeight="1" x14ac:dyDescent="0.25"/>
    <row r="42" spans="2:6" x14ac:dyDescent="0.25">
      <c r="C42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30:K30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5" firstPageNumber="0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A1:AMJ43"/>
  <sheetViews>
    <sheetView view="pageBreakPreview" topLeftCell="A10" zoomScaleNormal="100" workbookViewId="0">
      <selection activeCell="I38" sqref="I38"/>
    </sheetView>
  </sheetViews>
  <sheetFormatPr defaultColWidth="9.140625" defaultRowHeight="15" x14ac:dyDescent="0.25"/>
  <cols>
    <col min="1" max="1" width="9.140625" style="149"/>
    <col min="2" max="2" width="9.5703125" style="149" customWidth="1"/>
    <col min="3" max="3" width="32.85546875" style="149" customWidth="1"/>
    <col min="4" max="4" width="7.28515625" style="149" customWidth="1"/>
    <col min="5" max="5" width="7.140625" style="149" customWidth="1"/>
    <col min="6" max="11" width="7.7109375" style="149" customWidth="1"/>
    <col min="12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x14ac:dyDescent="0.25">
      <c r="E2" s="455" t="s">
        <v>88</v>
      </c>
      <c r="F2" s="455"/>
      <c r="G2" s="455"/>
      <c r="H2" s="455"/>
      <c r="I2" s="151" t="s">
        <v>661</v>
      </c>
    </row>
    <row r="3" spans="1:16" x14ac:dyDescent="0.25">
      <c r="D3" s="456" t="s">
        <v>76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P31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20" t="s">
        <v>92</v>
      </c>
      <c r="B17" s="421" t="s">
        <v>93</v>
      </c>
      <c r="C17" s="422" t="s">
        <v>94</v>
      </c>
      <c r="D17" s="423" t="s">
        <v>95</v>
      </c>
      <c r="E17" s="424" t="s">
        <v>96</v>
      </c>
      <c r="F17" s="417" t="s">
        <v>97</v>
      </c>
      <c r="G17" s="417"/>
      <c r="H17" s="417"/>
      <c r="I17" s="417"/>
      <c r="J17" s="417"/>
      <c r="K17" s="417"/>
      <c r="L17" s="418" t="s">
        <v>98</v>
      </c>
      <c r="M17" s="418"/>
      <c r="N17" s="418"/>
      <c r="O17" s="418"/>
      <c r="P17" s="418"/>
    </row>
    <row r="18" spans="1:19" ht="58.15" customHeight="1" x14ac:dyDescent="0.25">
      <c r="A18" s="420"/>
      <c r="B18" s="421"/>
      <c r="C18" s="422"/>
      <c r="D18" s="423"/>
      <c r="E18" s="424"/>
      <c r="F18" s="43" t="s">
        <v>99</v>
      </c>
      <c r="G18" s="44" t="s">
        <v>100</v>
      </c>
      <c r="H18" s="44" t="s">
        <v>101</v>
      </c>
      <c r="I18" s="44" t="s">
        <v>102</v>
      </c>
      <c r="J18" s="44" t="s">
        <v>103</v>
      </c>
      <c r="K18" s="45" t="s">
        <v>104</v>
      </c>
      <c r="L18" s="46" t="s">
        <v>105</v>
      </c>
      <c r="M18" s="44" t="s">
        <v>101</v>
      </c>
      <c r="N18" s="44" t="s">
        <v>102</v>
      </c>
      <c r="O18" s="44" t="s">
        <v>103</v>
      </c>
      <c r="P18" s="45" t="s">
        <v>106</v>
      </c>
    </row>
    <row r="19" spans="1:19" x14ac:dyDescent="0.25">
      <c r="A19" s="95">
        <v>1</v>
      </c>
      <c r="B19" s="96">
        <v>2</v>
      </c>
      <c r="C19" s="96">
        <v>3</v>
      </c>
      <c r="D19" s="96">
        <v>4</v>
      </c>
      <c r="E19" s="97">
        <v>5</v>
      </c>
      <c r="F19" s="95">
        <v>6</v>
      </c>
      <c r="G19" s="96">
        <v>7</v>
      </c>
      <c r="H19" s="96">
        <v>8</v>
      </c>
      <c r="I19" s="96">
        <v>9</v>
      </c>
      <c r="J19" s="96">
        <v>10</v>
      </c>
      <c r="K19" s="98">
        <v>11</v>
      </c>
      <c r="L19" s="99">
        <v>12</v>
      </c>
      <c r="M19" s="96">
        <v>13</v>
      </c>
      <c r="N19" s="96">
        <v>14</v>
      </c>
      <c r="O19" s="96">
        <v>15</v>
      </c>
      <c r="P19" s="98">
        <v>16</v>
      </c>
    </row>
    <row r="20" spans="1:19" s="58" customFormat="1" ht="16.350000000000001" customHeight="1" x14ac:dyDescent="0.25">
      <c r="A20" s="71"/>
      <c r="B20" s="91"/>
      <c r="C20" s="382" t="s">
        <v>518</v>
      </c>
      <c r="D20" s="236"/>
      <c r="E20" s="237"/>
      <c r="F20" s="122"/>
      <c r="G20" s="64"/>
      <c r="H20" s="93"/>
      <c r="I20" s="64"/>
      <c r="J20" s="64"/>
      <c r="K20" s="68"/>
      <c r="L20" s="112"/>
      <c r="M20" s="64"/>
      <c r="N20" s="64"/>
      <c r="O20" s="64"/>
      <c r="P20" s="68"/>
      <c r="S20" s="94"/>
    </row>
    <row r="21" spans="1:19" s="58" customFormat="1" ht="16.350000000000001" customHeight="1" x14ac:dyDescent="0.25">
      <c r="A21" s="71"/>
      <c r="B21" s="91"/>
      <c r="C21" s="382" t="s">
        <v>519</v>
      </c>
      <c r="D21" s="236"/>
      <c r="E21" s="237"/>
      <c r="F21" s="12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16.350000000000001" customHeight="1" x14ac:dyDescent="0.25">
      <c r="A22" s="71">
        <v>1</v>
      </c>
      <c r="B22" s="91" t="s">
        <v>108</v>
      </c>
      <c r="C22" s="146" t="s">
        <v>520</v>
      </c>
      <c r="D22" s="236" t="s">
        <v>114</v>
      </c>
      <c r="E22" s="385">
        <v>1</v>
      </c>
      <c r="F22" s="12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16.350000000000001" customHeight="1" x14ac:dyDescent="0.25">
      <c r="A23" s="71">
        <v>2</v>
      </c>
      <c r="B23" s="91" t="s">
        <v>108</v>
      </c>
      <c r="C23" s="146" t="s">
        <v>521</v>
      </c>
      <c r="D23" s="236" t="s">
        <v>110</v>
      </c>
      <c r="E23" s="385">
        <v>5</v>
      </c>
      <c r="F23" s="122"/>
      <c r="G23" s="64"/>
      <c r="H23" s="93"/>
      <c r="I23" s="6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26.1" customHeight="1" x14ac:dyDescent="0.25">
      <c r="A24" s="71">
        <v>3</v>
      </c>
      <c r="B24" s="91" t="s">
        <v>108</v>
      </c>
      <c r="C24" s="146" t="s">
        <v>522</v>
      </c>
      <c r="D24" s="236" t="s">
        <v>114</v>
      </c>
      <c r="E24" s="385">
        <v>1</v>
      </c>
      <c r="F24" s="122"/>
      <c r="G24" s="64"/>
      <c r="H24" s="93"/>
      <c r="I24" s="6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16.350000000000001" customHeight="1" x14ac:dyDescent="0.25">
      <c r="A25" s="71">
        <v>4</v>
      </c>
      <c r="B25" s="91" t="s">
        <v>108</v>
      </c>
      <c r="C25" s="146" t="s">
        <v>523</v>
      </c>
      <c r="D25" s="236" t="s">
        <v>110</v>
      </c>
      <c r="E25" s="385">
        <v>5</v>
      </c>
      <c r="F25" s="122"/>
      <c r="G25" s="64"/>
      <c r="H25" s="93"/>
      <c r="I25" s="6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16.350000000000001" customHeight="1" x14ac:dyDescent="0.25">
      <c r="A26" s="71"/>
      <c r="B26" s="91"/>
      <c r="C26" s="382" t="s">
        <v>524</v>
      </c>
      <c r="D26" s="236"/>
      <c r="E26" s="385"/>
      <c r="F26" s="122"/>
      <c r="G26" s="64"/>
      <c r="H26" s="93"/>
      <c r="I26" s="6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16.5" customHeight="1" x14ac:dyDescent="0.25">
      <c r="A27" s="71">
        <v>5</v>
      </c>
      <c r="B27" s="91"/>
      <c r="C27" s="147" t="s">
        <v>525</v>
      </c>
      <c r="D27" s="236" t="s">
        <v>110</v>
      </c>
      <c r="E27" s="385">
        <v>5</v>
      </c>
      <c r="F27" s="122"/>
      <c r="G27" s="64"/>
      <c r="H27" s="93"/>
      <c r="I27" s="6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27.6" customHeight="1" x14ac:dyDescent="0.25">
      <c r="A28" s="71">
        <v>6</v>
      </c>
      <c r="B28" s="91"/>
      <c r="C28" s="147" t="s">
        <v>878</v>
      </c>
      <c r="D28" s="236" t="s">
        <v>110</v>
      </c>
      <c r="E28" s="385">
        <v>5</v>
      </c>
      <c r="F28" s="122"/>
      <c r="G28" s="64"/>
      <c r="H28" s="93"/>
      <c r="I28" s="64"/>
      <c r="J28" s="64"/>
      <c r="K28" s="68"/>
      <c r="L28" s="112"/>
      <c r="M28" s="64"/>
      <c r="N28" s="64"/>
      <c r="O28" s="64"/>
      <c r="P28" s="68"/>
      <c r="S28" s="94"/>
    </row>
    <row r="29" spans="1:19" s="58" customFormat="1" ht="16.350000000000001" customHeight="1" x14ac:dyDescent="0.25">
      <c r="A29" s="71">
        <v>7</v>
      </c>
      <c r="B29" s="91"/>
      <c r="C29" s="147" t="s">
        <v>262</v>
      </c>
      <c r="D29" s="236" t="s">
        <v>112</v>
      </c>
      <c r="E29" s="385">
        <v>1</v>
      </c>
      <c r="F29" s="122"/>
      <c r="G29" s="64"/>
      <c r="H29" s="93"/>
      <c r="I29" s="64"/>
      <c r="J29" s="64"/>
      <c r="K29" s="68"/>
      <c r="L29" s="112"/>
      <c r="M29" s="64"/>
      <c r="N29" s="64"/>
      <c r="O29" s="64"/>
      <c r="P29" s="68"/>
      <c r="S29" s="94"/>
    </row>
    <row r="30" spans="1:19" ht="17.850000000000001" customHeight="1" x14ac:dyDescent="0.25">
      <c r="A30" s="171"/>
      <c r="B30" s="172"/>
      <c r="C30" s="146"/>
      <c r="D30" s="236"/>
      <c r="E30" s="238"/>
      <c r="F30" s="171"/>
      <c r="G30" s="172"/>
      <c r="H30" s="172"/>
      <c r="I30" s="172"/>
      <c r="J30" s="172"/>
      <c r="K30" s="174"/>
      <c r="L30" s="175"/>
      <c r="M30" s="172"/>
      <c r="N30" s="172"/>
      <c r="O30" s="172"/>
      <c r="P30" s="174"/>
    </row>
    <row r="31" spans="1:19" ht="15.75" customHeight="1" x14ac:dyDescent="0.25">
      <c r="A31" s="176"/>
      <c r="B31" s="177"/>
      <c r="C31" s="458" t="s">
        <v>136</v>
      </c>
      <c r="D31" s="458"/>
      <c r="E31" s="458"/>
      <c r="F31" s="458"/>
      <c r="G31" s="458"/>
      <c r="H31" s="458"/>
      <c r="I31" s="458"/>
      <c r="J31" s="458"/>
      <c r="K31" s="458"/>
      <c r="L31" s="178">
        <f>SUM(L22:L30)</f>
        <v>0</v>
      </c>
      <c r="M31" s="178">
        <f>SUM(M22:M30)</f>
        <v>0</v>
      </c>
      <c r="N31" s="178">
        <f>SUM(N22:N30)</f>
        <v>0</v>
      </c>
      <c r="O31" s="178">
        <f>SUM(O22:O30)</f>
        <v>0</v>
      </c>
      <c r="P31" s="178">
        <f>SUM(P22:P30)</f>
        <v>0</v>
      </c>
    </row>
    <row r="32" spans="1:19" ht="7.9" customHeight="1" x14ac:dyDescent="0.25"/>
    <row r="33" spans="2:6" x14ac:dyDescent="0.25">
      <c r="B33" s="149" t="s">
        <v>26</v>
      </c>
      <c r="C33" s="181">
        <f>KOPTAME!C58</f>
        <v>0</v>
      </c>
      <c r="E33" s="152">
        <f>'KOPS 1'!F42</f>
        <v>0</v>
      </c>
    </row>
    <row r="34" spans="2:6" x14ac:dyDescent="0.25">
      <c r="C34" s="153" t="s">
        <v>86</v>
      </c>
      <c r="E34" s="153"/>
    </row>
    <row r="35" spans="2:6" ht="8.4499999999999993" customHeight="1" x14ac:dyDescent="0.25">
      <c r="E35" s="153"/>
    </row>
    <row r="36" spans="2:6" x14ac:dyDescent="0.25">
      <c r="B36" s="150"/>
      <c r="C36" s="182"/>
      <c r="D36" s="153"/>
      <c r="E36" s="153"/>
      <c r="F36" s="155"/>
    </row>
    <row r="37" spans="2:6" ht="6.6" customHeight="1" x14ac:dyDescent="0.25">
      <c r="E37" s="153"/>
    </row>
    <row r="38" spans="2:6" x14ac:dyDescent="0.25">
      <c r="B38" s="149" t="s">
        <v>28</v>
      </c>
      <c r="C38" s="181">
        <f>KOPTAME!C63</f>
        <v>0</v>
      </c>
      <c r="E38" s="152">
        <f>E33</f>
        <v>0</v>
      </c>
    </row>
    <row r="39" spans="2:6" x14ac:dyDescent="0.25">
      <c r="C39" s="153" t="s">
        <v>86</v>
      </c>
      <c r="E39" s="153"/>
    </row>
    <row r="40" spans="2:6" ht="7.9" customHeight="1" x14ac:dyDescent="0.25">
      <c r="E40" s="153"/>
    </row>
    <row r="41" spans="2:6" x14ac:dyDescent="0.25">
      <c r="C41" s="149">
        <f>KOPTAME!C68</f>
        <v>0</v>
      </c>
    </row>
    <row r="42" spans="2:6" ht="8.4499999999999993" customHeight="1" x14ac:dyDescent="0.25"/>
    <row r="43" spans="2:6" x14ac:dyDescent="0.25">
      <c r="C43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31:K31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5" firstPageNumber="0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A1:AMJ49"/>
  <sheetViews>
    <sheetView view="pageBreakPreview" topLeftCell="A19" zoomScaleNormal="100" workbookViewId="0">
      <selection activeCell="I27" sqref="I27"/>
    </sheetView>
  </sheetViews>
  <sheetFormatPr defaultColWidth="9.140625" defaultRowHeight="15" x14ac:dyDescent="0.25"/>
  <cols>
    <col min="1" max="1" width="6.5703125" style="149" customWidth="1"/>
    <col min="2" max="2" width="10.140625" style="149" customWidth="1"/>
    <col min="3" max="3" width="32.85546875" style="149" customWidth="1"/>
    <col min="4" max="4" width="6.7109375" style="149" customWidth="1"/>
    <col min="5" max="5" width="7.140625" style="149" customWidth="1"/>
    <col min="6" max="6" width="7.28515625" style="149" customWidth="1"/>
    <col min="7" max="8" width="9.140625" style="149"/>
    <col min="9" max="9" width="6.7109375" style="149" customWidth="1"/>
    <col min="10" max="1024" width="9.140625" style="149"/>
  </cols>
  <sheetData>
    <row r="1" spans="1:16" x14ac:dyDescent="0.25">
      <c r="M1" s="452" t="s">
        <v>87</v>
      </c>
      <c r="N1" s="452"/>
      <c r="O1" s="452"/>
      <c r="P1" s="452"/>
    </row>
    <row r="2" spans="1:16" x14ac:dyDescent="0.25">
      <c r="E2" s="455" t="s">
        <v>88</v>
      </c>
      <c r="F2" s="455"/>
      <c r="G2" s="455"/>
      <c r="H2" s="455"/>
      <c r="I2" s="151" t="s">
        <v>674</v>
      </c>
    </row>
    <row r="3" spans="1:16" x14ac:dyDescent="0.25">
      <c r="D3" s="456" t="s">
        <v>80</v>
      </c>
      <c r="E3" s="456"/>
      <c r="F3" s="456"/>
      <c r="G3" s="456"/>
      <c r="H3" s="456"/>
      <c r="I3" s="456"/>
      <c r="J3" s="456"/>
      <c r="K3" s="456"/>
      <c r="L3" s="456"/>
      <c r="M3" s="456"/>
    </row>
    <row r="4" spans="1:16" x14ac:dyDescent="0.25">
      <c r="D4" s="457" t="s">
        <v>89</v>
      </c>
      <c r="E4" s="457"/>
      <c r="F4" s="457"/>
      <c r="G4" s="457"/>
      <c r="H4" s="457"/>
      <c r="I4" s="457"/>
      <c r="J4" s="457"/>
      <c r="K4" s="457"/>
      <c r="L4" s="457"/>
      <c r="M4" s="457"/>
    </row>
    <row r="5" spans="1:16" ht="9" customHeight="1" x14ac:dyDescent="0.25"/>
    <row r="6" spans="1:16" x14ac:dyDescent="0.25">
      <c r="A6" s="452" t="s">
        <v>10</v>
      </c>
      <c r="B6" s="452"/>
      <c r="C6" s="453" t="str">
        <f>KOPTAME!C15</f>
        <v>VALGUNDES PAGASTA PĀRVALDES ĒKAS ENERGOEFEKTIVITĀTES PAAGUSTINĀŠANA</v>
      </c>
      <c r="D6" s="453"/>
      <c r="E6" s="453"/>
      <c r="F6" s="453"/>
      <c r="G6" s="453"/>
      <c r="H6" s="453"/>
      <c r="I6" s="453"/>
      <c r="J6" s="453"/>
      <c r="K6" s="453"/>
      <c r="L6" s="453"/>
      <c r="M6" s="453"/>
      <c r="N6" s="453"/>
      <c r="O6" s="453"/>
      <c r="P6" s="453"/>
    </row>
    <row r="7" spans="1:16" x14ac:dyDescent="0.25">
      <c r="A7" s="452" t="s">
        <v>12</v>
      </c>
      <c r="B7" s="452"/>
      <c r="C7" s="453" t="str">
        <f>KOPTAME!C16</f>
        <v>VALGUNDES PAGASTA PĀRVALDES ĒKA</v>
      </c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</row>
    <row r="8" spans="1:16" x14ac:dyDescent="0.25">
      <c r="A8" s="452" t="s">
        <v>14</v>
      </c>
      <c r="B8" s="452"/>
      <c r="C8" s="453" t="str">
        <f>KOPTAME!C17</f>
        <v>CELTNIEKU IELA 35, VALGUNDE, JELGAVAS NOVADS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</row>
    <row r="9" spans="1:16" x14ac:dyDescent="0.25">
      <c r="A9" s="452" t="s">
        <v>16</v>
      </c>
      <c r="B9" s="452"/>
      <c r="C9" s="453" t="str">
        <f>KOPTAME!C18</f>
        <v>JELGAVAS NOVADA PAŠVALDĪBA</v>
      </c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</row>
    <row r="10" spans="1:16" x14ac:dyDescent="0.25">
      <c r="A10" s="452" t="s">
        <v>18</v>
      </c>
      <c r="B10" s="452"/>
      <c r="C10" s="453" t="str">
        <f>KOPTAME!C19</f>
        <v>23-019/3   (KPJ/2023/31-5)</v>
      </c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</row>
    <row r="11" spans="1:16" x14ac:dyDescent="0.25">
      <c r="A11" s="452" t="s">
        <v>19</v>
      </c>
      <c r="B11" s="452"/>
      <c r="C11" s="453">
        <f>KOPTAME!C20</f>
        <v>0</v>
      </c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</row>
    <row r="13" spans="1:16" x14ac:dyDescent="0.25">
      <c r="A13" s="454">
        <f>KOPTAME!B22</f>
        <v>0</v>
      </c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M13" s="453" t="s">
        <v>90</v>
      </c>
      <c r="N13" s="453"/>
      <c r="O13" s="154">
        <f>P37</f>
        <v>0</v>
      </c>
      <c r="P13" s="153" t="s">
        <v>91</v>
      </c>
    </row>
    <row r="14" spans="1:16" x14ac:dyDescent="0.25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M14" s="153"/>
      <c r="N14" s="153"/>
      <c r="O14" s="155"/>
      <c r="P14" s="153"/>
    </row>
    <row r="15" spans="1:16" x14ac:dyDescent="0.25">
      <c r="L15" s="150"/>
      <c r="M15" s="153"/>
      <c r="N15" s="153"/>
      <c r="O15" s="155"/>
      <c r="P15" s="150">
        <f>KOPTAME!C70</f>
        <v>0</v>
      </c>
    </row>
    <row r="17" spans="1:19" ht="15" customHeight="1" x14ac:dyDescent="0.25">
      <c r="A17" s="447" t="s">
        <v>92</v>
      </c>
      <c r="B17" s="448" t="s">
        <v>93</v>
      </c>
      <c r="C17" s="449" t="s">
        <v>94</v>
      </c>
      <c r="D17" s="450" t="s">
        <v>95</v>
      </c>
      <c r="E17" s="451" t="s">
        <v>96</v>
      </c>
      <c r="F17" s="444" t="s">
        <v>97</v>
      </c>
      <c r="G17" s="444"/>
      <c r="H17" s="444"/>
      <c r="I17" s="444"/>
      <c r="J17" s="444"/>
      <c r="K17" s="444"/>
      <c r="L17" s="445" t="s">
        <v>98</v>
      </c>
      <c r="M17" s="445"/>
      <c r="N17" s="445"/>
      <c r="O17" s="445"/>
      <c r="P17" s="445"/>
    </row>
    <row r="18" spans="1:19" ht="58.15" customHeight="1" x14ac:dyDescent="0.25">
      <c r="A18" s="447"/>
      <c r="B18" s="448"/>
      <c r="C18" s="449"/>
      <c r="D18" s="450"/>
      <c r="E18" s="451"/>
      <c r="F18" s="156" t="s">
        <v>99</v>
      </c>
      <c r="G18" s="157" t="s">
        <v>100</v>
      </c>
      <c r="H18" s="157" t="s">
        <v>101</v>
      </c>
      <c r="I18" s="157" t="s">
        <v>102</v>
      </c>
      <c r="J18" s="157" t="s">
        <v>103</v>
      </c>
      <c r="K18" s="158" t="s">
        <v>104</v>
      </c>
      <c r="L18" s="159" t="s">
        <v>105</v>
      </c>
      <c r="M18" s="157" t="s">
        <v>101</v>
      </c>
      <c r="N18" s="157" t="s">
        <v>102</v>
      </c>
      <c r="O18" s="157" t="s">
        <v>103</v>
      </c>
      <c r="P18" s="158" t="s">
        <v>106</v>
      </c>
    </row>
    <row r="19" spans="1:19" x14ac:dyDescent="0.25">
      <c r="A19" s="160">
        <v>1</v>
      </c>
      <c r="B19" s="161">
        <v>2</v>
      </c>
      <c r="C19" s="161">
        <v>3</v>
      </c>
      <c r="D19" s="161">
        <v>4</v>
      </c>
      <c r="E19" s="162">
        <v>5</v>
      </c>
      <c r="F19" s="160">
        <v>6</v>
      </c>
      <c r="G19" s="161">
        <v>7</v>
      </c>
      <c r="H19" s="161">
        <v>8</v>
      </c>
      <c r="I19" s="161">
        <v>9</v>
      </c>
      <c r="J19" s="161">
        <v>10</v>
      </c>
      <c r="K19" s="163">
        <v>11</v>
      </c>
      <c r="L19" s="164">
        <v>12</v>
      </c>
      <c r="M19" s="161">
        <v>13</v>
      </c>
      <c r="N19" s="161">
        <v>14</v>
      </c>
      <c r="O19" s="161">
        <v>15</v>
      </c>
      <c r="P19" s="163">
        <v>16</v>
      </c>
    </row>
    <row r="20" spans="1:19" ht="17.850000000000001" customHeight="1" x14ac:dyDescent="0.25">
      <c r="A20" s="165"/>
      <c r="B20" s="166"/>
      <c r="C20" s="378" t="s">
        <v>573</v>
      </c>
      <c r="D20" s="383"/>
      <c r="E20" s="384"/>
      <c r="F20" s="165"/>
      <c r="G20" s="166"/>
      <c r="H20" s="166"/>
      <c r="I20" s="166"/>
      <c r="J20" s="166"/>
      <c r="K20" s="168"/>
      <c r="L20" s="169"/>
      <c r="M20" s="166"/>
      <c r="N20" s="166"/>
      <c r="O20" s="166"/>
      <c r="P20" s="168"/>
    </row>
    <row r="21" spans="1:19" s="58" customFormat="1" ht="46.15" customHeight="1" x14ac:dyDescent="0.25">
      <c r="A21" s="71">
        <v>1</v>
      </c>
      <c r="B21" s="91" t="s">
        <v>108</v>
      </c>
      <c r="C21" s="146" t="s">
        <v>574</v>
      </c>
      <c r="D21" s="236" t="s">
        <v>110</v>
      </c>
      <c r="E21" s="385">
        <v>2</v>
      </c>
      <c r="F21" s="122"/>
      <c r="G21" s="64"/>
      <c r="H21" s="93"/>
      <c r="I21" s="64"/>
      <c r="J21" s="64"/>
      <c r="K21" s="68"/>
      <c r="L21" s="112"/>
      <c r="M21" s="64"/>
      <c r="N21" s="64"/>
      <c r="O21" s="64"/>
      <c r="P21" s="68"/>
      <c r="S21" s="94"/>
    </row>
    <row r="22" spans="1:19" s="58" customFormat="1" ht="48.6" customHeight="1" x14ac:dyDescent="0.25">
      <c r="A22" s="71">
        <v>2</v>
      </c>
      <c r="B22" s="91" t="s">
        <v>108</v>
      </c>
      <c r="C22" s="146" t="s">
        <v>575</v>
      </c>
      <c r="D22" s="236" t="s">
        <v>110</v>
      </c>
      <c r="E22" s="385">
        <v>7</v>
      </c>
      <c r="F22" s="122"/>
      <c r="G22" s="64"/>
      <c r="H22" s="93"/>
      <c r="I22" s="64"/>
      <c r="J22" s="64"/>
      <c r="K22" s="68"/>
      <c r="L22" s="112"/>
      <c r="M22" s="64"/>
      <c r="N22" s="64"/>
      <c r="O22" s="64"/>
      <c r="P22" s="68"/>
      <c r="S22" s="94"/>
    </row>
    <row r="23" spans="1:19" s="58" customFormat="1" ht="88.9" customHeight="1" x14ac:dyDescent="0.25">
      <c r="A23" s="71">
        <v>3</v>
      </c>
      <c r="B23" s="91" t="s">
        <v>108</v>
      </c>
      <c r="C23" s="146" t="s">
        <v>576</v>
      </c>
      <c r="D23" s="236" t="s">
        <v>112</v>
      </c>
      <c r="E23" s="385">
        <v>1</v>
      </c>
      <c r="F23" s="122"/>
      <c r="G23" s="64"/>
      <c r="H23" s="93"/>
      <c r="I23" s="64"/>
      <c r="J23" s="64"/>
      <c r="K23" s="68"/>
      <c r="L23" s="112"/>
      <c r="M23" s="64"/>
      <c r="N23" s="64"/>
      <c r="O23" s="64"/>
      <c r="P23" s="68"/>
      <c r="S23" s="94"/>
    </row>
    <row r="24" spans="1:19" s="58" customFormat="1" ht="31.35" customHeight="1" x14ac:dyDescent="0.25">
      <c r="A24" s="71">
        <v>4</v>
      </c>
      <c r="B24" s="91" t="s">
        <v>108</v>
      </c>
      <c r="C24" s="146" t="s">
        <v>577</v>
      </c>
      <c r="D24" s="236" t="s">
        <v>114</v>
      </c>
      <c r="E24" s="385">
        <v>1</v>
      </c>
      <c r="F24" s="122"/>
      <c r="G24" s="64"/>
      <c r="H24" s="93"/>
      <c r="I24" s="64"/>
      <c r="J24" s="64"/>
      <c r="K24" s="68"/>
      <c r="L24" s="112"/>
      <c r="M24" s="64"/>
      <c r="N24" s="64"/>
      <c r="O24" s="64"/>
      <c r="P24" s="68"/>
      <c r="S24" s="94"/>
    </row>
    <row r="25" spans="1:19" s="58" customFormat="1" ht="31.35" customHeight="1" x14ac:dyDescent="0.25">
      <c r="A25" s="71">
        <v>5</v>
      </c>
      <c r="B25" s="91" t="s">
        <v>108</v>
      </c>
      <c r="C25" s="146" t="s">
        <v>578</v>
      </c>
      <c r="D25" s="236" t="s">
        <v>171</v>
      </c>
      <c r="E25" s="385">
        <v>9</v>
      </c>
      <c r="F25" s="122"/>
      <c r="G25" s="64"/>
      <c r="H25" s="93"/>
      <c r="I25" s="64"/>
      <c r="J25" s="64"/>
      <c r="K25" s="68"/>
      <c r="L25" s="112"/>
      <c r="M25" s="64"/>
      <c r="N25" s="64"/>
      <c r="O25" s="64"/>
      <c r="P25" s="68"/>
      <c r="S25" s="94"/>
    </row>
    <row r="26" spans="1:19" s="58" customFormat="1" ht="31.35" customHeight="1" x14ac:dyDescent="0.25">
      <c r="A26" s="71">
        <v>6</v>
      </c>
      <c r="B26" s="91" t="s">
        <v>108</v>
      </c>
      <c r="C26" s="146" t="s">
        <v>579</v>
      </c>
      <c r="D26" s="236" t="s">
        <v>171</v>
      </c>
      <c r="E26" s="385">
        <v>1.3</v>
      </c>
      <c r="F26" s="122"/>
      <c r="G26" s="64"/>
      <c r="H26" s="93"/>
      <c r="I26" s="64"/>
      <c r="J26" s="64"/>
      <c r="K26" s="68"/>
      <c r="L26" s="112"/>
      <c r="M26" s="64"/>
      <c r="N26" s="64"/>
      <c r="O26" s="64"/>
      <c r="P26" s="68"/>
      <c r="S26" s="94"/>
    </row>
    <row r="27" spans="1:19" s="58" customFormat="1" ht="31.35" customHeight="1" x14ac:dyDescent="0.25">
      <c r="A27" s="71">
        <v>7</v>
      </c>
      <c r="B27" s="91" t="s">
        <v>108</v>
      </c>
      <c r="C27" s="146" t="s">
        <v>580</v>
      </c>
      <c r="D27" s="236" t="s">
        <v>171</v>
      </c>
      <c r="E27" s="385">
        <v>4</v>
      </c>
      <c r="F27" s="122"/>
      <c r="G27" s="64"/>
      <c r="H27" s="93"/>
      <c r="I27" s="64"/>
      <c r="J27" s="64"/>
      <c r="K27" s="68"/>
      <c r="L27" s="112"/>
      <c r="M27" s="64"/>
      <c r="N27" s="64"/>
      <c r="O27" s="64"/>
      <c r="P27" s="68"/>
      <c r="S27" s="94"/>
    </row>
    <row r="28" spans="1:19" s="58" customFormat="1" ht="31.35" customHeight="1" x14ac:dyDescent="0.25">
      <c r="A28" s="71">
        <v>8</v>
      </c>
      <c r="B28" s="91" t="s">
        <v>108</v>
      </c>
      <c r="C28" s="146" t="s">
        <v>581</v>
      </c>
      <c r="D28" s="236" t="s">
        <v>171</v>
      </c>
      <c r="E28" s="385">
        <v>3.7</v>
      </c>
      <c r="F28" s="122"/>
      <c r="G28" s="64"/>
      <c r="H28" s="93"/>
      <c r="I28" s="64"/>
      <c r="J28" s="64"/>
      <c r="K28" s="68"/>
      <c r="L28" s="112"/>
      <c r="M28" s="64"/>
      <c r="N28" s="64"/>
      <c r="O28" s="64"/>
      <c r="P28" s="68"/>
      <c r="S28" s="94"/>
    </row>
    <row r="29" spans="1:19" s="58" customFormat="1" ht="17.850000000000001" customHeight="1" x14ac:dyDescent="0.25">
      <c r="A29" s="71">
        <v>9</v>
      </c>
      <c r="B29" s="91" t="s">
        <v>108</v>
      </c>
      <c r="C29" s="146" t="s">
        <v>582</v>
      </c>
      <c r="D29" s="236" t="s">
        <v>110</v>
      </c>
      <c r="E29" s="385">
        <v>9</v>
      </c>
      <c r="F29" s="122"/>
      <c r="G29" s="64"/>
      <c r="H29" s="93"/>
      <c r="I29" s="64"/>
      <c r="J29" s="64"/>
      <c r="K29" s="68"/>
      <c r="L29" s="112"/>
      <c r="M29" s="64"/>
      <c r="N29" s="64"/>
      <c r="O29" s="64"/>
      <c r="P29" s="68"/>
      <c r="S29" s="94"/>
    </row>
    <row r="30" spans="1:19" s="58" customFormat="1" ht="17.850000000000001" customHeight="1" x14ac:dyDescent="0.25">
      <c r="A30" s="71">
        <v>10</v>
      </c>
      <c r="B30" s="91" t="s">
        <v>108</v>
      </c>
      <c r="C30" s="146" t="s">
        <v>583</v>
      </c>
      <c r="D30" s="236" t="s">
        <v>426</v>
      </c>
      <c r="E30" s="385">
        <v>3</v>
      </c>
      <c r="F30" s="122"/>
      <c r="G30" s="64"/>
      <c r="H30" s="93"/>
      <c r="I30" s="64"/>
      <c r="J30" s="64"/>
      <c r="K30" s="68"/>
      <c r="L30" s="112"/>
      <c r="M30" s="64"/>
      <c r="N30" s="64"/>
      <c r="O30" s="64"/>
      <c r="P30" s="68"/>
      <c r="S30" s="94"/>
    </row>
    <row r="31" spans="1:19" s="58" customFormat="1" ht="27.6" customHeight="1" x14ac:dyDescent="0.25">
      <c r="A31" s="71">
        <v>11</v>
      </c>
      <c r="B31" s="91" t="s">
        <v>108</v>
      </c>
      <c r="C31" s="146" t="s">
        <v>584</v>
      </c>
      <c r="D31" s="236" t="s">
        <v>110</v>
      </c>
      <c r="E31" s="385">
        <v>2</v>
      </c>
      <c r="F31" s="122"/>
      <c r="G31" s="64"/>
      <c r="H31" s="93"/>
      <c r="I31" s="64"/>
      <c r="J31" s="64"/>
      <c r="K31" s="68"/>
      <c r="L31" s="112"/>
      <c r="M31" s="64"/>
      <c r="N31" s="64"/>
      <c r="O31" s="64"/>
      <c r="P31" s="68"/>
      <c r="S31" s="94"/>
    </row>
    <row r="32" spans="1:19" s="58" customFormat="1" ht="40.15" customHeight="1" x14ac:dyDescent="0.25">
      <c r="A32" s="71">
        <v>12</v>
      </c>
      <c r="B32" s="91" t="s">
        <v>108</v>
      </c>
      <c r="C32" s="146" t="s">
        <v>585</v>
      </c>
      <c r="D32" s="236" t="s">
        <v>112</v>
      </c>
      <c r="E32" s="385">
        <v>1</v>
      </c>
      <c r="F32" s="122"/>
      <c r="G32" s="64"/>
      <c r="H32" s="93"/>
      <c r="I32" s="64"/>
      <c r="J32" s="64"/>
      <c r="K32" s="68"/>
      <c r="L32" s="112"/>
      <c r="M32" s="64"/>
      <c r="N32" s="64"/>
      <c r="O32" s="64"/>
      <c r="P32" s="68"/>
      <c r="S32" s="94"/>
    </row>
    <row r="33" spans="1:19" s="58" customFormat="1" ht="28.35" customHeight="1" x14ac:dyDescent="0.25">
      <c r="A33" s="71">
        <v>13</v>
      </c>
      <c r="B33" s="91" t="s">
        <v>108</v>
      </c>
      <c r="C33" s="146" t="s">
        <v>586</v>
      </c>
      <c r="D33" s="236" t="s">
        <v>112</v>
      </c>
      <c r="E33" s="385">
        <v>1</v>
      </c>
      <c r="F33" s="122"/>
      <c r="G33" s="64"/>
      <c r="H33" s="93"/>
      <c r="I33" s="64"/>
      <c r="J33" s="64"/>
      <c r="K33" s="68"/>
      <c r="L33" s="112"/>
      <c r="M33" s="64"/>
      <c r="N33" s="64"/>
      <c r="O33" s="64"/>
      <c r="P33" s="68"/>
      <c r="S33" s="94"/>
    </row>
    <row r="34" spans="1:19" s="58" customFormat="1" ht="17.850000000000001" customHeight="1" x14ac:dyDescent="0.25">
      <c r="A34" s="71">
        <v>14</v>
      </c>
      <c r="B34" s="91" t="s">
        <v>108</v>
      </c>
      <c r="C34" s="146" t="s">
        <v>587</v>
      </c>
      <c r="D34" s="236" t="s">
        <v>124</v>
      </c>
      <c r="E34" s="385">
        <v>1</v>
      </c>
      <c r="F34" s="122"/>
      <c r="G34" s="64"/>
      <c r="H34" s="93"/>
      <c r="I34" s="64"/>
      <c r="J34" s="64"/>
      <c r="K34" s="68"/>
      <c r="L34" s="112"/>
      <c r="M34" s="64"/>
      <c r="N34" s="64"/>
      <c r="O34" s="64"/>
      <c r="P34" s="68"/>
      <c r="S34" s="94"/>
    </row>
    <row r="35" spans="1:19" s="58" customFormat="1" ht="17.850000000000001" customHeight="1" x14ac:dyDescent="0.25">
      <c r="A35" s="71">
        <v>15</v>
      </c>
      <c r="B35" s="91" t="s">
        <v>108</v>
      </c>
      <c r="C35" s="146" t="s">
        <v>588</v>
      </c>
      <c r="D35" s="236" t="s">
        <v>124</v>
      </c>
      <c r="E35" s="385">
        <v>14</v>
      </c>
      <c r="F35" s="122"/>
      <c r="G35" s="64"/>
      <c r="H35" s="93"/>
      <c r="I35" s="64"/>
      <c r="J35" s="64"/>
      <c r="K35" s="68"/>
      <c r="L35" s="112"/>
      <c r="M35" s="64"/>
      <c r="N35" s="64"/>
      <c r="O35" s="64"/>
      <c r="P35" s="68"/>
      <c r="S35" s="94"/>
    </row>
    <row r="36" spans="1:19" ht="17.850000000000001" customHeight="1" x14ac:dyDescent="0.25">
      <c r="A36" s="171"/>
      <c r="B36" s="172"/>
      <c r="C36" s="146"/>
      <c r="D36" s="236"/>
      <c r="E36" s="238"/>
      <c r="F36" s="171"/>
      <c r="G36" s="172"/>
      <c r="H36" s="172"/>
      <c r="I36" s="172"/>
      <c r="J36" s="172"/>
      <c r="K36" s="174"/>
      <c r="L36" s="175"/>
      <c r="M36" s="172"/>
      <c r="N36" s="172"/>
      <c r="O36" s="172"/>
      <c r="P36" s="174"/>
    </row>
    <row r="37" spans="1:19" ht="17.850000000000001" customHeight="1" x14ac:dyDescent="0.25">
      <c r="A37" s="176"/>
      <c r="B37" s="177"/>
      <c r="C37" s="458" t="s">
        <v>136</v>
      </c>
      <c r="D37" s="458"/>
      <c r="E37" s="458"/>
      <c r="F37" s="458"/>
      <c r="G37" s="458"/>
      <c r="H37" s="458"/>
      <c r="I37" s="458"/>
      <c r="J37" s="458"/>
      <c r="K37" s="458"/>
      <c r="L37" s="178">
        <f>SUM(L21:L35)</f>
        <v>0</v>
      </c>
      <c r="M37" s="179">
        <f>SUM(M21:M35)</f>
        <v>0</v>
      </c>
      <c r="N37" s="179">
        <f>SUM(N21:N35)</f>
        <v>0</v>
      </c>
      <c r="O37" s="179">
        <f>SUM(O21:O35)</f>
        <v>0</v>
      </c>
      <c r="P37" s="180">
        <f>SUM(P21:P35)</f>
        <v>0</v>
      </c>
    </row>
    <row r="38" spans="1:19" ht="17.850000000000001" customHeight="1" x14ac:dyDescent="0.25"/>
    <row r="39" spans="1:19" ht="17.850000000000001" customHeight="1" x14ac:dyDescent="0.25">
      <c r="B39" s="149" t="s">
        <v>26</v>
      </c>
      <c r="C39" s="181">
        <f>KOPTAME!C58</f>
        <v>0</v>
      </c>
      <c r="E39" s="152">
        <f>'KOPS 1'!F42</f>
        <v>0</v>
      </c>
    </row>
    <row r="40" spans="1:19" ht="17.850000000000001" customHeight="1" x14ac:dyDescent="0.25">
      <c r="C40" s="153" t="s">
        <v>86</v>
      </c>
      <c r="E40" s="153"/>
    </row>
    <row r="41" spans="1:19" ht="17.850000000000001" customHeight="1" x14ac:dyDescent="0.25">
      <c r="E41" s="153"/>
    </row>
    <row r="42" spans="1:19" ht="17.850000000000001" customHeight="1" x14ac:dyDescent="0.25">
      <c r="B42" s="150"/>
      <c r="C42" s="182"/>
      <c r="D42" s="153"/>
      <c r="E42" s="153"/>
      <c r="F42" s="155"/>
    </row>
    <row r="43" spans="1:19" ht="17.850000000000001" customHeight="1" x14ac:dyDescent="0.25">
      <c r="E43" s="153"/>
    </row>
    <row r="44" spans="1:19" ht="17.850000000000001" customHeight="1" x14ac:dyDescent="0.25">
      <c r="B44" s="149" t="s">
        <v>28</v>
      </c>
      <c r="C44" s="181">
        <f>KOPTAME!C63</f>
        <v>0</v>
      </c>
      <c r="E44" s="152">
        <f>E39</f>
        <v>0</v>
      </c>
    </row>
    <row r="45" spans="1:19" ht="17.850000000000001" customHeight="1" x14ac:dyDescent="0.25">
      <c r="C45" s="153" t="s">
        <v>86</v>
      </c>
      <c r="E45" s="153"/>
    </row>
    <row r="46" spans="1:19" ht="17.850000000000001" customHeight="1" x14ac:dyDescent="0.25">
      <c r="E46" s="153"/>
    </row>
    <row r="47" spans="1:19" ht="17.850000000000001" customHeight="1" x14ac:dyDescent="0.25">
      <c r="C47" s="149">
        <f>KOPTAME!C68</f>
        <v>0</v>
      </c>
    </row>
    <row r="48" spans="1:19" ht="17.850000000000001" customHeight="1" x14ac:dyDescent="0.25"/>
    <row r="49" spans="3:3" ht="17.850000000000001" customHeight="1" x14ac:dyDescent="0.25">
      <c r="C49" s="149">
        <f>KOPTAME!C70</f>
        <v>0</v>
      </c>
    </row>
  </sheetData>
  <mergeCells count="26">
    <mergeCell ref="M1:P1"/>
    <mergeCell ref="E2:H2"/>
    <mergeCell ref="D3:M3"/>
    <mergeCell ref="D4:M4"/>
    <mergeCell ref="A6:B6"/>
    <mergeCell ref="C6:P6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3:K14"/>
    <mergeCell ref="M13:N13"/>
    <mergeCell ref="F17:K17"/>
    <mergeCell ref="L17:P17"/>
    <mergeCell ref="C37:K37"/>
    <mergeCell ref="A17:A18"/>
    <mergeCell ref="B17:B18"/>
    <mergeCell ref="C17:C18"/>
    <mergeCell ref="D17:D18"/>
    <mergeCell ref="E17:E18"/>
  </mergeCells>
  <pageMargins left="0.25" right="0.25" top="0.75" bottom="0.75" header="0.51180555555555496" footer="0.51180555555555496"/>
  <pageSetup paperSize="9" scale="65" firstPageNumber="0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</sheetPr>
  <dimension ref="A1:ALZ38"/>
  <sheetViews>
    <sheetView view="pageBreakPreview" zoomScaleNormal="100" workbookViewId="0">
      <selection activeCell="H34" sqref="H34"/>
    </sheetView>
  </sheetViews>
  <sheetFormatPr defaultColWidth="9.140625" defaultRowHeight="15" x14ac:dyDescent="0.25"/>
  <cols>
    <col min="1" max="1" width="5.140625" style="1" customWidth="1"/>
    <col min="2" max="2" width="7.140625" style="1" customWidth="1"/>
    <col min="3" max="3" width="9.7109375" style="1" customWidth="1"/>
    <col min="4" max="4" width="34.85546875" style="1" customWidth="1"/>
    <col min="5" max="5" width="10.140625" style="1" customWidth="1"/>
    <col min="6" max="9" width="10.85546875" style="1" customWidth="1"/>
    <col min="10" max="10" width="10.140625" style="1" customWidth="1"/>
    <col min="11" max="1014" width="9.140625" style="1"/>
  </cols>
  <sheetData>
    <row r="1" spans="1:10" x14ac:dyDescent="0.25">
      <c r="H1" s="413" t="s">
        <v>29</v>
      </c>
      <c r="I1" s="413"/>
      <c r="J1" s="413"/>
    </row>
    <row r="3" spans="1:10" x14ac:dyDescent="0.25">
      <c r="D3" s="414" t="s">
        <v>673</v>
      </c>
      <c r="E3" s="414"/>
      <c r="F3" s="414"/>
      <c r="G3" s="414"/>
      <c r="H3" s="414"/>
      <c r="I3" s="414"/>
      <c r="J3" s="414"/>
    </row>
    <row r="4" spans="1:10" x14ac:dyDescent="0.25">
      <c r="D4" s="415" t="str">
        <f>KOPTAME!C41</f>
        <v>BŪVDARBI ĒKAS FUNKCIONĀLI SAISTĪTĀ TERITORIJĀ</v>
      </c>
      <c r="E4" s="415"/>
      <c r="F4" s="415"/>
      <c r="G4" s="415"/>
      <c r="H4" s="415"/>
      <c r="I4" s="415"/>
      <c r="J4" s="415"/>
    </row>
    <row r="5" spans="1:10" x14ac:dyDescent="0.25">
      <c r="D5" s="416" t="s">
        <v>31</v>
      </c>
      <c r="E5" s="416"/>
      <c r="F5" s="416"/>
      <c r="G5" s="416"/>
      <c r="H5" s="416"/>
      <c r="I5" s="416"/>
      <c r="J5" s="416"/>
    </row>
    <row r="7" spans="1:10" x14ac:dyDescent="0.25">
      <c r="C7" s="5" t="s">
        <v>10</v>
      </c>
      <c r="D7" s="413" t="str">
        <f>KOPTAME!C15</f>
        <v>VALGUNDES PAGASTA PĀRVALDES ĒKAS ENERGOEFEKTIVITĀTES PAAGUSTINĀŠANA</v>
      </c>
      <c r="E7" s="413"/>
      <c r="F7" s="413"/>
      <c r="G7" s="413"/>
      <c r="H7" s="413"/>
      <c r="I7" s="413"/>
      <c r="J7" s="413"/>
    </row>
    <row r="8" spans="1:10" x14ac:dyDescent="0.25">
      <c r="C8" s="5" t="s">
        <v>12</v>
      </c>
      <c r="D8" s="413" t="str">
        <f>KOPTAME!C16</f>
        <v>VALGUNDES PAGASTA PĀRVALDES ĒKA</v>
      </c>
      <c r="E8" s="413"/>
      <c r="F8" s="413"/>
      <c r="G8" s="413"/>
      <c r="H8" s="413"/>
      <c r="I8" s="413"/>
      <c r="J8" s="413"/>
    </row>
    <row r="9" spans="1:10" x14ac:dyDescent="0.25">
      <c r="C9" s="5" t="s">
        <v>14</v>
      </c>
      <c r="D9" s="413" t="str">
        <f>KOPTAME!C17</f>
        <v>CELTNIEKU IELA 35, VALGUNDE, JELGAVAS NOVADS</v>
      </c>
      <c r="E9" s="413"/>
      <c r="F9" s="413"/>
      <c r="G9" s="413"/>
      <c r="H9" s="413"/>
      <c r="I9" s="413"/>
      <c r="J9" s="413"/>
    </row>
    <row r="10" spans="1:10" x14ac:dyDescent="0.25">
      <c r="C10" s="5" t="s">
        <v>16</v>
      </c>
      <c r="D10" s="413" t="str">
        <f>KOPTAME!C18</f>
        <v>JELGAVAS NOVADA PAŠVALDĪBA</v>
      </c>
      <c r="E10" s="413"/>
      <c r="F10" s="413"/>
      <c r="G10" s="413"/>
      <c r="H10" s="413"/>
      <c r="I10" s="413"/>
      <c r="J10" s="413"/>
    </row>
    <row r="11" spans="1:10" x14ac:dyDescent="0.25">
      <c r="C11" s="5" t="s">
        <v>18</v>
      </c>
      <c r="D11" s="413" t="str">
        <f>KOPTAME!C19</f>
        <v>23-019/3   (KPJ/2023/31-5)</v>
      </c>
      <c r="E11" s="413"/>
      <c r="F11" s="413"/>
      <c r="G11" s="413"/>
      <c r="H11" s="413"/>
      <c r="I11" s="413"/>
      <c r="J11" s="413"/>
    </row>
    <row r="12" spans="1:10" x14ac:dyDescent="0.25">
      <c r="C12" s="5" t="s">
        <v>19</v>
      </c>
      <c r="D12" s="413">
        <f>KOPTAME!C20</f>
        <v>0</v>
      </c>
      <c r="E12" s="413"/>
      <c r="F12" s="413"/>
      <c r="G12" s="413"/>
      <c r="H12" s="413"/>
      <c r="I12" s="413"/>
      <c r="J12" s="413"/>
    </row>
    <row r="13" spans="1:10" x14ac:dyDescent="0.25">
      <c r="A13" s="5"/>
      <c r="B13" s="5"/>
      <c r="C13" s="5"/>
      <c r="D13" s="2"/>
      <c r="E13" s="2"/>
      <c r="F13" s="2"/>
      <c r="G13" s="2"/>
      <c r="H13" s="2"/>
      <c r="I13" s="2"/>
      <c r="J13" s="2"/>
    </row>
    <row r="14" spans="1:10" x14ac:dyDescent="0.25">
      <c r="A14" s="5"/>
      <c r="B14" s="5"/>
      <c r="C14" s="5"/>
      <c r="D14" s="5" t="s">
        <v>32</v>
      </c>
      <c r="E14" s="35">
        <f>F27</f>
        <v>0</v>
      </c>
      <c r="F14" s="2"/>
      <c r="G14" s="2"/>
      <c r="H14" s="2"/>
      <c r="I14" s="2"/>
      <c r="J14" s="2"/>
    </row>
    <row r="15" spans="1:10" x14ac:dyDescent="0.25">
      <c r="D15" s="5" t="s">
        <v>33</v>
      </c>
      <c r="E15" s="274">
        <f>J23</f>
        <v>0</v>
      </c>
    </row>
    <row r="16" spans="1:10" ht="15.75" thickBot="1" x14ac:dyDescent="0.3"/>
    <row r="17" spans="1:10" ht="13.15" customHeight="1" thickBot="1" x14ac:dyDescent="0.3">
      <c r="A17" s="412" t="s">
        <v>34</v>
      </c>
      <c r="B17" s="404" t="s">
        <v>35</v>
      </c>
      <c r="C17" s="404" t="s">
        <v>36</v>
      </c>
      <c r="D17" s="405" t="s">
        <v>37</v>
      </c>
      <c r="E17" s="405"/>
      <c r="F17" s="406" t="s">
        <v>38</v>
      </c>
      <c r="G17" s="411" t="s">
        <v>39</v>
      </c>
      <c r="H17" s="411"/>
      <c r="I17" s="411"/>
      <c r="J17" s="406" t="s">
        <v>40</v>
      </c>
    </row>
    <row r="18" spans="1:10" s="1" customFormat="1" ht="26.25" thickBot="1" x14ac:dyDescent="0.3">
      <c r="A18" s="412"/>
      <c r="B18" s="404"/>
      <c r="C18" s="404"/>
      <c r="D18" s="404"/>
      <c r="E18" s="405"/>
      <c r="F18" s="406"/>
      <c r="G18" s="275" t="s">
        <v>41</v>
      </c>
      <c r="H18" s="276" t="s">
        <v>42</v>
      </c>
      <c r="I18" s="277" t="s">
        <v>43</v>
      </c>
      <c r="J18" s="406"/>
    </row>
    <row r="19" spans="1:10" ht="17.25" customHeight="1" thickBot="1" x14ac:dyDescent="0.3">
      <c r="A19" s="408" t="str">
        <f>D4</f>
        <v>BŪVDARBI ĒKAS FUNKCIONĀLI SAISTĪTĀ TERITORIJĀ</v>
      </c>
      <c r="B19" s="409"/>
      <c r="C19" s="409"/>
      <c r="D19" s="409"/>
      <c r="E19" s="409"/>
      <c r="F19" s="409"/>
      <c r="G19" s="409"/>
      <c r="H19" s="409"/>
      <c r="I19" s="409"/>
      <c r="J19" s="410"/>
    </row>
    <row r="20" spans="1:10" s="1" customFormat="1" ht="12.75" x14ac:dyDescent="0.25">
      <c r="A20" s="23"/>
      <c r="B20" s="36"/>
      <c r="C20" s="36"/>
      <c r="D20" s="407" t="s">
        <v>44</v>
      </c>
      <c r="E20" s="407"/>
      <c r="F20" s="278"/>
      <c r="G20" s="279"/>
      <c r="H20" s="37"/>
      <c r="I20" s="280"/>
      <c r="J20" s="278"/>
    </row>
    <row r="21" spans="1:10" s="1" customFormat="1" ht="16.350000000000001" customHeight="1" x14ac:dyDescent="0.25">
      <c r="A21" s="15">
        <v>23</v>
      </c>
      <c r="B21" s="38" t="s">
        <v>672</v>
      </c>
      <c r="C21" s="38" t="s">
        <v>675</v>
      </c>
      <c r="D21" s="403" t="s">
        <v>62</v>
      </c>
      <c r="E21" s="403"/>
      <c r="F21" s="240"/>
      <c r="G21" s="39"/>
      <c r="H21" s="39"/>
      <c r="I21" s="39"/>
      <c r="J21" s="240"/>
    </row>
    <row r="22" spans="1:10" s="1" customFormat="1" ht="13.5" thickBot="1" x14ac:dyDescent="0.3">
      <c r="A22" s="17"/>
      <c r="B22" s="18"/>
      <c r="C22" s="18"/>
      <c r="D22" s="400"/>
      <c r="E22" s="400"/>
      <c r="F22" s="284"/>
      <c r="G22" s="283"/>
      <c r="H22" s="283"/>
      <c r="I22" s="283"/>
      <c r="J22" s="282"/>
    </row>
    <row r="23" spans="1:10" s="1" customFormat="1" ht="13.5" thickBot="1" x14ac:dyDescent="0.3">
      <c r="A23" s="9"/>
      <c r="B23" s="10"/>
      <c r="C23" s="285"/>
      <c r="D23" s="399" t="s">
        <v>81</v>
      </c>
      <c r="E23" s="399"/>
      <c r="F23" s="286">
        <f>SUM(F21:F21)</f>
        <v>0</v>
      </c>
      <c r="G23" s="286">
        <f>SUM(G21:G21)</f>
        <v>0</v>
      </c>
      <c r="H23" s="286">
        <f>SUM(H21:H21)</f>
        <v>0</v>
      </c>
      <c r="I23" s="286">
        <f>SUM(I21:I21)</f>
        <v>0</v>
      </c>
      <c r="J23" s="286">
        <f>SUM(J21:J21)</f>
        <v>0</v>
      </c>
    </row>
    <row r="24" spans="1:10" s="1" customFormat="1" ht="12.75" x14ac:dyDescent="0.25">
      <c r="A24" s="12"/>
      <c r="B24" s="13"/>
      <c r="C24" s="13"/>
      <c r="D24" s="287" t="s">
        <v>82</v>
      </c>
      <c r="E24" s="288"/>
      <c r="F24" s="289"/>
    </row>
    <row r="25" spans="1:10" s="1" customFormat="1" ht="12.75" x14ac:dyDescent="0.25">
      <c r="A25" s="15"/>
      <c r="B25" s="38"/>
      <c r="C25" s="38"/>
      <c r="D25" s="290" t="s">
        <v>83</v>
      </c>
      <c r="E25" s="291"/>
      <c r="F25" s="292"/>
    </row>
    <row r="26" spans="1:10" s="1" customFormat="1" ht="13.5" thickBot="1" x14ac:dyDescent="0.3">
      <c r="A26" s="17"/>
      <c r="B26" s="18"/>
      <c r="C26" s="18"/>
      <c r="D26" s="293" t="s">
        <v>84</v>
      </c>
      <c r="E26" s="294"/>
      <c r="F26" s="284"/>
    </row>
    <row r="27" spans="1:10" s="1" customFormat="1" ht="13.5" thickBot="1" x14ac:dyDescent="0.3">
      <c r="A27" s="9"/>
      <c r="B27" s="10"/>
      <c r="C27" s="10"/>
      <c r="D27" s="399" t="s">
        <v>85</v>
      </c>
      <c r="E27" s="399"/>
      <c r="F27" s="295">
        <f>F26+F24+F23</f>
        <v>0</v>
      </c>
    </row>
    <row r="28" spans="1:10" s="1" customFormat="1" ht="12.75" x14ac:dyDescent="0.25">
      <c r="A28" s="2"/>
      <c r="B28" s="2"/>
      <c r="C28" s="2"/>
      <c r="E28" s="2"/>
      <c r="F28" s="2"/>
    </row>
    <row r="29" spans="1:10" s="1" customFormat="1" ht="12.75" x14ac:dyDescent="0.25">
      <c r="A29" s="2"/>
      <c r="B29" s="2"/>
      <c r="C29" s="2"/>
      <c r="E29" s="2"/>
      <c r="F29" s="2"/>
    </row>
    <row r="30" spans="1:10" s="1" customFormat="1" ht="12.75" x14ac:dyDescent="0.25">
      <c r="B30" s="2" t="s">
        <v>26</v>
      </c>
      <c r="C30" s="2"/>
      <c r="D30" s="6">
        <f>KOPTAME!C58</f>
        <v>0</v>
      </c>
      <c r="F30" s="34">
        <f>KOPTAME!D58</f>
        <v>0</v>
      </c>
    </row>
    <row r="31" spans="1:10" s="1" customFormat="1" ht="12.75" x14ac:dyDescent="0.25">
      <c r="D31" s="1" t="s">
        <v>86</v>
      </c>
      <c r="F31" s="2"/>
    </row>
    <row r="32" spans="1:10" s="1" customFormat="1" ht="12.75" x14ac:dyDescent="0.25">
      <c r="F32" s="2"/>
    </row>
    <row r="33" spans="2:6" s="1" customFormat="1" ht="12.75" x14ac:dyDescent="0.25">
      <c r="D33" s="33">
        <f>KOPTAME!C70</f>
        <v>0</v>
      </c>
      <c r="F33" s="2"/>
    </row>
    <row r="34" spans="2:6" s="1" customFormat="1" ht="12.75" x14ac:dyDescent="0.25">
      <c r="F34" s="2"/>
    </row>
    <row r="35" spans="2:6" s="1" customFormat="1" ht="12.75" x14ac:dyDescent="0.25">
      <c r="B35" s="2" t="s">
        <v>28</v>
      </c>
      <c r="C35" s="2"/>
      <c r="D35" s="6">
        <f>KOPTAME!C63</f>
        <v>0</v>
      </c>
      <c r="F35" s="34">
        <f>F30</f>
        <v>0</v>
      </c>
    </row>
    <row r="36" spans="2:6" s="1" customFormat="1" ht="12.75" x14ac:dyDescent="0.25">
      <c r="D36" s="1" t="s">
        <v>86</v>
      </c>
    </row>
    <row r="38" spans="2:6" s="1" customFormat="1" ht="12.75" x14ac:dyDescent="0.25">
      <c r="D38" s="31">
        <f>KOPTAME!C70</f>
        <v>0</v>
      </c>
    </row>
  </sheetData>
  <mergeCells count="23">
    <mergeCell ref="D22:E22"/>
    <mergeCell ref="D23:E23"/>
    <mergeCell ref="D27:E27"/>
    <mergeCell ref="A19:J19"/>
    <mergeCell ref="D21:E21"/>
    <mergeCell ref="J17:J18"/>
    <mergeCell ref="D20:E20"/>
    <mergeCell ref="D9:J9"/>
    <mergeCell ref="D10:J10"/>
    <mergeCell ref="D11:J11"/>
    <mergeCell ref="D12:J12"/>
    <mergeCell ref="G17:I17"/>
    <mergeCell ref="A17:A18"/>
    <mergeCell ref="B17:B18"/>
    <mergeCell ref="C17:C18"/>
    <mergeCell ref="D17:E18"/>
    <mergeCell ref="F17:F18"/>
    <mergeCell ref="D8:J8"/>
    <mergeCell ref="H1:J1"/>
    <mergeCell ref="D3:J3"/>
    <mergeCell ref="D4:J4"/>
    <mergeCell ref="D5:J5"/>
    <mergeCell ref="D7:J7"/>
  </mergeCells>
  <pageMargins left="0.25" right="0.25" top="0.75" bottom="0.75" header="0.51180555555555496" footer="0.51180555555555496"/>
  <pageSetup paperSize="9" scale="66" firstPageNumber="0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AMJ86"/>
  <sheetViews>
    <sheetView view="pageBreakPreview" topLeftCell="A46" zoomScaleNormal="100" workbookViewId="0">
      <selection activeCell="T34" sqref="T34"/>
    </sheetView>
  </sheetViews>
  <sheetFormatPr defaultColWidth="9.140625" defaultRowHeight="15" x14ac:dyDescent="0.25"/>
  <cols>
    <col min="1" max="1" width="6.7109375" style="1" customWidth="1"/>
    <col min="2" max="2" width="9.140625" style="1"/>
    <col min="3" max="3" width="33.7109375" style="1" customWidth="1"/>
    <col min="4" max="4" width="7.7109375" style="1" customWidth="1"/>
    <col min="5" max="5" width="9.140625" style="1"/>
    <col min="6" max="11" width="7.7109375" style="1" customWidth="1"/>
    <col min="12" max="1024" width="9.140625" style="1"/>
  </cols>
  <sheetData>
    <row r="1" spans="1:16" x14ac:dyDescent="0.25">
      <c r="M1" s="396" t="s">
        <v>87</v>
      </c>
      <c r="N1" s="396"/>
      <c r="O1" s="396"/>
      <c r="P1" s="396"/>
    </row>
    <row r="3" spans="1:16" x14ac:dyDescent="0.25">
      <c r="E3" s="426" t="s">
        <v>88</v>
      </c>
      <c r="F3" s="426"/>
      <c r="G3" s="426"/>
      <c r="H3" s="426"/>
      <c r="I3" s="41" t="s">
        <v>672</v>
      </c>
    </row>
    <row r="4" spans="1:16" x14ac:dyDescent="0.25">
      <c r="D4" s="415" t="s">
        <v>62</v>
      </c>
      <c r="E4" s="415"/>
      <c r="F4" s="415"/>
      <c r="G4" s="415"/>
      <c r="H4" s="415"/>
      <c r="I4" s="415"/>
      <c r="J4" s="415"/>
      <c r="K4" s="415"/>
      <c r="L4" s="415"/>
      <c r="M4" s="415"/>
    </row>
    <row r="5" spans="1:16" x14ac:dyDescent="0.25">
      <c r="D5" s="416" t="s">
        <v>89</v>
      </c>
      <c r="E5" s="416"/>
      <c r="F5" s="416"/>
      <c r="G5" s="416"/>
      <c r="H5" s="416"/>
      <c r="I5" s="416"/>
      <c r="J5" s="416"/>
      <c r="K5" s="416"/>
      <c r="L5" s="416"/>
      <c r="M5" s="416"/>
    </row>
    <row r="7" spans="1:16" x14ac:dyDescent="0.25">
      <c r="A7" s="396" t="s">
        <v>10</v>
      </c>
      <c r="B7" s="396"/>
      <c r="C7" s="413" t="str">
        <f>KOPTAME!C15</f>
        <v>VALGUNDES PAGASTA PĀRVALDES ĒKAS ENERGOEFEKTIVITĀTES PAAGUSTINĀŠANA</v>
      </c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</row>
    <row r="8" spans="1:16" x14ac:dyDescent="0.25">
      <c r="A8" s="396" t="s">
        <v>12</v>
      </c>
      <c r="B8" s="396"/>
      <c r="C8" s="413" t="str">
        <f>KOPTAME!C16</f>
        <v>VALGUNDES PAGASTA PĀRVALDES ĒKA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</row>
    <row r="9" spans="1:16" x14ac:dyDescent="0.25">
      <c r="A9" s="396" t="s">
        <v>14</v>
      </c>
      <c r="B9" s="396"/>
      <c r="C9" s="413" t="str">
        <f>KOPTAME!C17</f>
        <v>CELTNIEKU IELA 35, VALGUNDE, JELGAVAS NOVADS</v>
      </c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</row>
    <row r="10" spans="1:16" x14ac:dyDescent="0.25">
      <c r="A10" s="396" t="s">
        <v>16</v>
      </c>
      <c r="B10" s="396"/>
      <c r="C10" s="413" t="str">
        <f>KOPTAME!C18</f>
        <v>JELGAVAS NOVADA PAŠVALDĪBA</v>
      </c>
      <c r="D10" s="413"/>
      <c r="E10" s="413"/>
      <c r="F10" s="413"/>
      <c r="G10" s="413"/>
      <c r="H10" s="413"/>
      <c r="I10" s="413"/>
      <c r="J10" s="413"/>
      <c r="K10" s="413"/>
      <c r="L10" s="413"/>
      <c r="M10" s="413"/>
      <c r="N10" s="413"/>
      <c r="O10" s="413"/>
      <c r="P10" s="413"/>
    </row>
    <row r="11" spans="1:16" x14ac:dyDescent="0.25">
      <c r="A11" s="396" t="s">
        <v>18</v>
      </c>
      <c r="B11" s="396"/>
      <c r="C11" s="413" t="str">
        <f>KOPTAME!C19</f>
        <v>23-019/3   (KPJ/2023/31-5)</v>
      </c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</row>
    <row r="12" spans="1:16" x14ac:dyDescent="0.25">
      <c r="A12" s="396" t="s">
        <v>19</v>
      </c>
      <c r="B12" s="396"/>
      <c r="C12" s="413">
        <f>KOPTAME!C20</f>
        <v>0</v>
      </c>
      <c r="D12" s="413"/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</row>
    <row r="14" spans="1:16" x14ac:dyDescent="0.25">
      <c r="A14" s="427">
        <f>KOPTAME!B22</f>
        <v>0</v>
      </c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M14" s="413" t="s">
        <v>90</v>
      </c>
      <c r="N14" s="413"/>
      <c r="O14" s="35">
        <f>P74</f>
        <v>0</v>
      </c>
      <c r="P14" s="2" t="s">
        <v>91</v>
      </c>
    </row>
    <row r="15" spans="1:16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M15" s="2"/>
      <c r="N15" s="2"/>
      <c r="O15" s="42"/>
      <c r="P15" s="2"/>
    </row>
    <row r="16" spans="1:16" x14ac:dyDescent="0.25">
      <c r="L16" s="5"/>
      <c r="M16" s="2"/>
      <c r="N16" s="2"/>
      <c r="O16" s="42"/>
      <c r="P16" s="5">
        <f>KOPTAME!C70</f>
        <v>0</v>
      </c>
    </row>
    <row r="18" spans="1:19" ht="15" customHeight="1" x14ac:dyDescent="0.25">
      <c r="A18" s="420" t="s">
        <v>92</v>
      </c>
      <c r="B18" s="421" t="s">
        <v>93</v>
      </c>
      <c r="C18" s="422" t="s">
        <v>94</v>
      </c>
      <c r="D18" s="423" t="s">
        <v>95</v>
      </c>
      <c r="E18" s="424" t="s">
        <v>96</v>
      </c>
      <c r="F18" s="417" t="s">
        <v>97</v>
      </c>
      <c r="G18" s="417"/>
      <c r="H18" s="417"/>
      <c r="I18" s="417"/>
      <c r="J18" s="417"/>
      <c r="K18" s="417"/>
      <c r="L18" s="418" t="s">
        <v>98</v>
      </c>
      <c r="M18" s="418"/>
      <c r="N18" s="418"/>
      <c r="O18" s="418"/>
      <c r="P18" s="418"/>
    </row>
    <row r="19" spans="1:19" ht="79.150000000000006" customHeight="1" x14ac:dyDescent="0.25">
      <c r="A19" s="420"/>
      <c r="B19" s="421"/>
      <c r="C19" s="422"/>
      <c r="D19" s="423"/>
      <c r="E19" s="424"/>
      <c r="F19" s="43" t="s">
        <v>99</v>
      </c>
      <c r="G19" s="44" t="s">
        <v>100</v>
      </c>
      <c r="H19" s="44" t="s">
        <v>101</v>
      </c>
      <c r="I19" s="44" t="s">
        <v>102</v>
      </c>
      <c r="J19" s="44" t="s">
        <v>103</v>
      </c>
      <c r="K19" s="45" t="s">
        <v>104</v>
      </c>
      <c r="L19" s="46" t="s">
        <v>105</v>
      </c>
      <c r="M19" s="44" t="s">
        <v>101</v>
      </c>
      <c r="N19" s="44" t="s">
        <v>102</v>
      </c>
      <c r="O19" s="44" t="s">
        <v>103</v>
      </c>
      <c r="P19" s="45" t="s">
        <v>106</v>
      </c>
    </row>
    <row r="20" spans="1:19" x14ac:dyDescent="0.25">
      <c r="A20" s="95">
        <v>1</v>
      </c>
      <c r="B20" s="96">
        <v>2</v>
      </c>
      <c r="C20" s="96">
        <v>3</v>
      </c>
      <c r="D20" s="96">
        <v>4</v>
      </c>
      <c r="E20" s="97">
        <v>5</v>
      </c>
      <c r="F20" s="95">
        <v>6</v>
      </c>
      <c r="G20" s="96">
        <v>7</v>
      </c>
      <c r="H20" s="96">
        <v>8</v>
      </c>
      <c r="I20" s="96">
        <v>9</v>
      </c>
      <c r="J20" s="96">
        <v>10</v>
      </c>
      <c r="K20" s="98">
        <v>11</v>
      </c>
      <c r="L20" s="99">
        <v>12</v>
      </c>
      <c r="M20" s="96">
        <v>13</v>
      </c>
      <c r="N20" s="96">
        <v>14</v>
      </c>
      <c r="O20" s="96">
        <v>15</v>
      </c>
      <c r="P20" s="98">
        <v>16</v>
      </c>
    </row>
    <row r="21" spans="1:19" s="58" customFormat="1" ht="16.350000000000001" customHeight="1" x14ac:dyDescent="0.25">
      <c r="A21" s="100"/>
      <c r="B21" s="101"/>
      <c r="C21" s="338" t="s">
        <v>357</v>
      </c>
      <c r="D21" s="339"/>
      <c r="E21" s="340"/>
      <c r="F21" s="102"/>
      <c r="G21" s="103"/>
      <c r="H21" s="104"/>
      <c r="I21" s="104"/>
      <c r="J21" s="104"/>
      <c r="K21" s="105"/>
      <c r="L21" s="106"/>
      <c r="M21" s="104"/>
      <c r="N21" s="104"/>
      <c r="O21" s="104"/>
      <c r="P21" s="107"/>
    </row>
    <row r="22" spans="1:19" s="58" customFormat="1" ht="16.350000000000001" customHeight="1" x14ac:dyDescent="0.25">
      <c r="A22" s="71">
        <v>1</v>
      </c>
      <c r="B22" s="91" t="s">
        <v>108</v>
      </c>
      <c r="C22" s="329" t="s">
        <v>358</v>
      </c>
      <c r="D22" s="330" t="s">
        <v>124</v>
      </c>
      <c r="E22" s="331">
        <f>(22*2+11*2)*3</f>
        <v>198</v>
      </c>
      <c r="F22" s="92"/>
      <c r="G22" s="64"/>
      <c r="H22" s="93"/>
      <c r="I22" s="64"/>
      <c r="J22" s="64"/>
      <c r="K22" s="66"/>
      <c r="L22" s="67"/>
      <c r="M22" s="64"/>
      <c r="N22" s="64"/>
      <c r="O22" s="64"/>
      <c r="P22" s="68"/>
      <c r="S22" s="94"/>
    </row>
    <row r="23" spans="1:19" s="58" customFormat="1" ht="16.350000000000001" customHeight="1" x14ac:dyDescent="0.25">
      <c r="A23" s="71">
        <v>2</v>
      </c>
      <c r="B23" s="91"/>
      <c r="C23" s="341" t="s">
        <v>359</v>
      </c>
      <c r="D23" s="330" t="s">
        <v>171</v>
      </c>
      <c r="E23" s="331">
        <f>E22*0.15</f>
        <v>29.7</v>
      </c>
      <c r="F23" s="92"/>
      <c r="G23" s="64"/>
      <c r="H23" s="93"/>
      <c r="I23" s="74"/>
      <c r="J23" s="64"/>
      <c r="K23" s="66"/>
      <c r="L23" s="67"/>
      <c r="M23" s="64"/>
      <c r="N23" s="64"/>
      <c r="O23" s="64"/>
      <c r="P23" s="68"/>
      <c r="S23" s="94"/>
    </row>
    <row r="24" spans="1:19" s="58" customFormat="1" ht="16.350000000000001" customHeight="1" x14ac:dyDescent="0.25">
      <c r="A24" s="71">
        <v>3</v>
      </c>
      <c r="B24" s="91"/>
      <c r="C24" s="341" t="s">
        <v>360</v>
      </c>
      <c r="D24" s="330" t="s">
        <v>180</v>
      </c>
      <c r="E24" s="331">
        <f>E22/25</f>
        <v>7.92</v>
      </c>
      <c r="F24" s="92"/>
      <c r="G24" s="64"/>
      <c r="H24" s="93"/>
      <c r="I24" s="74"/>
      <c r="J24" s="64"/>
      <c r="K24" s="66"/>
      <c r="L24" s="67"/>
      <c r="M24" s="64"/>
      <c r="N24" s="64"/>
      <c r="O24" s="64"/>
      <c r="P24" s="68"/>
      <c r="S24" s="94"/>
    </row>
    <row r="25" spans="1:19" s="58" customFormat="1" ht="19.350000000000001" customHeight="1" x14ac:dyDescent="0.25">
      <c r="A25" s="100"/>
      <c r="B25" s="101"/>
      <c r="C25" s="338" t="s">
        <v>361</v>
      </c>
      <c r="D25" s="339"/>
      <c r="E25" s="340"/>
      <c r="F25" s="102"/>
      <c r="G25" s="103"/>
      <c r="H25" s="104"/>
      <c r="I25" s="104"/>
      <c r="J25" s="104"/>
      <c r="K25" s="142"/>
      <c r="L25" s="143"/>
      <c r="M25" s="103"/>
      <c r="N25" s="103"/>
      <c r="O25" s="103"/>
      <c r="P25" s="144"/>
      <c r="S25" s="94"/>
    </row>
    <row r="26" spans="1:19" s="58" customFormat="1" ht="29.85" customHeight="1" x14ac:dyDescent="0.25">
      <c r="A26" s="59">
        <v>1</v>
      </c>
      <c r="B26" s="60" t="s">
        <v>108</v>
      </c>
      <c r="C26" s="358" t="s">
        <v>362</v>
      </c>
      <c r="D26" s="333" t="s">
        <v>110</v>
      </c>
      <c r="E26" s="334">
        <f>52</f>
        <v>52</v>
      </c>
      <c r="F26" s="63"/>
      <c r="G26" s="64"/>
      <c r="H26" s="65"/>
      <c r="I26" s="64"/>
      <c r="J26" s="64"/>
      <c r="K26" s="66"/>
      <c r="L26" s="67"/>
      <c r="M26" s="64"/>
      <c r="N26" s="64"/>
      <c r="O26" s="64"/>
      <c r="P26" s="68"/>
      <c r="S26" s="94"/>
    </row>
    <row r="27" spans="1:19" s="58" customFormat="1" ht="18.600000000000001" customHeight="1" x14ac:dyDescent="0.25">
      <c r="A27" s="59">
        <v>2</v>
      </c>
      <c r="B27" s="60" t="s">
        <v>108</v>
      </c>
      <c r="C27" s="358" t="s">
        <v>363</v>
      </c>
      <c r="D27" s="333" t="s">
        <v>124</v>
      </c>
      <c r="E27" s="334">
        <f>E26</f>
        <v>52</v>
      </c>
      <c r="F27" s="63"/>
      <c r="G27" s="64"/>
      <c r="H27" s="65"/>
      <c r="I27" s="64"/>
      <c r="J27" s="64"/>
      <c r="K27" s="66"/>
      <c r="L27" s="67"/>
      <c r="M27" s="64"/>
      <c r="N27" s="64"/>
      <c r="O27" s="64"/>
      <c r="P27" s="68"/>
      <c r="S27" s="94"/>
    </row>
    <row r="28" spans="1:19" s="58" customFormat="1" ht="32.1" customHeight="1" x14ac:dyDescent="0.25">
      <c r="A28" s="59">
        <v>3</v>
      </c>
      <c r="B28" s="60" t="s">
        <v>108</v>
      </c>
      <c r="C28" s="358" t="s">
        <v>364</v>
      </c>
      <c r="D28" s="333" t="s">
        <v>124</v>
      </c>
      <c r="E28" s="334">
        <f>E26*1</f>
        <v>52</v>
      </c>
      <c r="F28" s="63"/>
      <c r="G28" s="64"/>
      <c r="H28" s="65"/>
      <c r="I28" s="64"/>
      <c r="J28" s="64"/>
      <c r="K28" s="66"/>
      <c r="L28" s="67"/>
      <c r="M28" s="64"/>
      <c r="N28" s="64"/>
      <c r="O28" s="64"/>
      <c r="P28" s="68"/>
      <c r="S28" s="94"/>
    </row>
    <row r="29" spans="1:19" s="58" customFormat="1" ht="18.600000000000001" customHeight="1" x14ac:dyDescent="0.25">
      <c r="A29" s="59">
        <v>4</v>
      </c>
      <c r="B29" s="60" t="s">
        <v>108</v>
      </c>
      <c r="C29" s="358" t="s">
        <v>365</v>
      </c>
      <c r="D29" s="333" t="s">
        <v>124</v>
      </c>
      <c r="E29" s="334">
        <f>E26</f>
        <v>52</v>
      </c>
      <c r="F29" s="63"/>
      <c r="G29" s="64"/>
      <c r="H29" s="65"/>
      <c r="I29" s="64"/>
      <c r="J29" s="64"/>
      <c r="K29" s="66"/>
      <c r="L29" s="67"/>
      <c r="M29" s="64"/>
      <c r="N29" s="64"/>
      <c r="O29" s="64"/>
      <c r="P29" s="68"/>
      <c r="S29" s="94"/>
    </row>
    <row r="30" spans="1:19" s="58" customFormat="1" ht="18.600000000000001" customHeight="1" x14ac:dyDescent="0.25">
      <c r="A30" s="59">
        <v>5</v>
      </c>
      <c r="B30" s="60" t="s">
        <v>108</v>
      </c>
      <c r="C30" s="358" t="s">
        <v>366</v>
      </c>
      <c r="D30" s="333" t="s">
        <v>124</v>
      </c>
      <c r="E30" s="334">
        <f>E26</f>
        <v>52</v>
      </c>
      <c r="F30" s="63"/>
      <c r="G30" s="64"/>
      <c r="H30" s="65"/>
      <c r="I30" s="64"/>
      <c r="J30" s="64"/>
      <c r="K30" s="66"/>
      <c r="L30" s="67"/>
      <c r="M30" s="64"/>
      <c r="N30" s="64"/>
      <c r="O30" s="64"/>
      <c r="P30" s="68"/>
      <c r="S30" s="94"/>
    </row>
    <row r="31" spans="1:19" s="58" customFormat="1" ht="28.15" customHeight="1" x14ac:dyDescent="0.25">
      <c r="A31" s="59">
        <v>6</v>
      </c>
      <c r="B31" s="60" t="s">
        <v>108</v>
      </c>
      <c r="C31" s="358" t="s">
        <v>367</v>
      </c>
      <c r="D31" s="333" t="s">
        <v>124</v>
      </c>
      <c r="E31" s="334">
        <f>E26*0.5</f>
        <v>26</v>
      </c>
      <c r="F31" s="63"/>
      <c r="G31" s="64"/>
      <c r="H31" s="65"/>
      <c r="I31" s="64"/>
      <c r="J31" s="64"/>
      <c r="K31" s="66"/>
      <c r="L31" s="67"/>
      <c r="M31" s="64"/>
      <c r="N31" s="64"/>
      <c r="O31" s="64"/>
      <c r="P31" s="68"/>
      <c r="S31" s="94"/>
    </row>
    <row r="32" spans="1:19" s="58" customFormat="1" ht="18.600000000000001" customHeight="1" x14ac:dyDescent="0.25">
      <c r="A32" s="59">
        <v>7</v>
      </c>
      <c r="B32" s="60" t="s">
        <v>108</v>
      </c>
      <c r="C32" s="358" t="s">
        <v>368</v>
      </c>
      <c r="D32" s="333" t="s">
        <v>124</v>
      </c>
      <c r="E32" s="334">
        <f>E26*0.5</f>
        <v>26</v>
      </c>
      <c r="F32" s="63"/>
      <c r="G32" s="64"/>
      <c r="H32" s="65"/>
      <c r="I32" s="64"/>
      <c r="J32" s="64"/>
      <c r="K32" s="66"/>
      <c r="L32" s="67"/>
      <c r="M32" s="64"/>
      <c r="N32" s="64"/>
      <c r="O32" s="64"/>
      <c r="P32" s="68"/>
      <c r="S32" s="94"/>
    </row>
    <row r="33" spans="1:19" s="58" customFormat="1" ht="32.85" customHeight="1" x14ac:dyDescent="0.25">
      <c r="A33" s="59">
        <v>8</v>
      </c>
      <c r="B33" s="60" t="s">
        <v>108</v>
      </c>
      <c r="C33" s="358" t="s">
        <v>369</v>
      </c>
      <c r="D33" s="333" t="s">
        <v>110</v>
      </c>
      <c r="E33" s="334">
        <f>E26+4</f>
        <v>56</v>
      </c>
      <c r="F33" s="63"/>
      <c r="G33" s="64"/>
      <c r="H33" s="65"/>
      <c r="I33" s="64"/>
      <c r="J33" s="64"/>
      <c r="K33" s="66"/>
      <c r="L33" s="67"/>
      <c r="M33" s="64"/>
      <c r="N33" s="64"/>
      <c r="O33" s="64"/>
      <c r="P33" s="68"/>
      <c r="S33" s="94"/>
    </row>
    <row r="34" spans="1:19" s="58" customFormat="1" ht="32.85" customHeight="1" x14ac:dyDescent="0.25">
      <c r="A34" s="59">
        <v>9</v>
      </c>
      <c r="B34" s="60" t="s">
        <v>108</v>
      </c>
      <c r="C34" s="358" t="s">
        <v>370</v>
      </c>
      <c r="D34" s="333" t="s">
        <v>114</v>
      </c>
      <c r="E34" s="334">
        <v>4</v>
      </c>
      <c r="F34" s="63"/>
      <c r="G34" s="64"/>
      <c r="H34" s="65"/>
      <c r="I34" s="64"/>
      <c r="J34" s="64"/>
      <c r="K34" s="66"/>
      <c r="L34" s="67"/>
      <c r="M34" s="64"/>
      <c r="N34" s="64"/>
      <c r="O34" s="64"/>
      <c r="P34" s="68"/>
      <c r="S34" s="94"/>
    </row>
    <row r="35" spans="1:19" s="58" customFormat="1" ht="28.9" customHeight="1" x14ac:dyDescent="0.25">
      <c r="A35" s="100"/>
      <c r="B35" s="101"/>
      <c r="C35" s="338" t="s">
        <v>371</v>
      </c>
      <c r="D35" s="339"/>
      <c r="E35" s="340"/>
      <c r="F35" s="102"/>
      <c r="G35" s="104"/>
      <c r="H35" s="104"/>
      <c r="I35" s="104"/>
      <c r="J35" s="104"/>
      <c r="K35" s="105"/>
      <c r="L35" s="106"/>
      <c r="M35" s="104"/>
      <c r="N35" s="104"/>
      <c r="O35" s="104"/>
      <c r="P35" s="107"/>
      <c r="S35" s="94"/>
    </row>
    <row r="36" spans="1:19" s="58" customFormat="1" ht="16.350000000000001" customHeight="1" x14ac:dyDescent="0.25">
      <c r="A36" s="71">
        <v>1</v>
      </c>
      <c r="B36" s="91" t="s">
        <v>108</v>
      </c>
      <c r="C36" s="329" t="s">
        <v>372</v>
      </c>
      <c r="D36" s="330" t="s">
        <v>171</v>
      </c>
      <c r="E36" s="331">
        <f>(2.65+0.6)*(9.8+1.15+0.6*2)*0.5</f>
        <v>19.743750000000002</v>
      </c>
      <c r="F36" s="92"/>
      <c r="G36" s="64"/>
      <c r="H36" s="93"/>
      <c r="I36" s="74"/>
      <c r="J36" s="74"/>
      <c r="K36" s="66"/>
      <c r="L36" s="67"/>
      <c r="M36" s="64"/>
      <c r="N36" s="64"/>
      <c r="O36" s="64"/>
      <c r="P36" s="68"/>
      <c r="S36" s="94"/>
    </row>
    <row r="37" spans="1:19" s="58" customFormat="1" ht="16.350000000000001" customHeight="1" x14ac:dyDescent="0.25">
      <c r="A37" s="71">
        <v>2</v>
      </c>
      <c r="B37" s="91" t="s">
        <v>108</v>
      </c>
      <c r="C37" s="329" t="s">
        <v>373</v>
      </c>
      <c r="D37" s="330" t="s">
        <v>171</v>
      </c>
      <c r="E37" s="331">
        <f>E36*0.05</f>
        <v>0.98718750000000011</v>
      </c>
      <c r="F37" s="92"/>
      <c r="G37" s="64"/>
      <c r="H37" s="93"/>
      <c r="I37" s="74"/>
      <c r="J37" s="74"/>
      <c r="K37" s="66"/>
      <c r="L37" s="67"/>
      <c r="M37" s="64"/>
      <c r="N37" s="64"/>
      <c r="O37" s="64"/>
      <c r="P37" s="68"/>
      <c r="S37" s="94"/>
    </row>
    <row r="38" spans="1:19" s="58" customFormat="1" ht="16.350000000000001" customHeight="1" x14ac:dyDescent="0.25">
      <c r="A38" s="71">
        <v>3</v>
      </c>
      <c r="B38" s="91" t="s">
        <v>108</v>
      </c>
      <c r="C38" s="329" t="s">
        <v>374</v>
      </c>
      <c r="D38" s="330" t="s">
        <v>171</v>
      </c>
      <c r="E38" s="331">
        <f>E36+E37</f>
        <v>20.730937500000003</v>
      </c>
      <c r="F38" s="92"/>
      <c r="G38" s="64"/>
      <c r="H38" s="93"/>
      <c r="I38" s="74"/>
      <c r="J38" s="74"/>
      <c r="K38" s="66"/>
      <c r="L38" s="67"/>
      <c r="M38" s="64"/>
      <c r="N38" s="64"/>
      <c r="O38" s="64"/>
      <c r="P38" s="68"/>
      <c r="S38" s="94"/>
    </row>
    <row r="39" spans="1:19" s="58" customFormat="1" ht="16.350000000000001" customHeight="1" x14ac:dyDescent="0.25">
      <c r="A39" s="71">
        <v>4</v>
      </c>
      <c r="B39" s="91" t="s">
        <v>108</v>
      </c>
      <c r="C39" s="329" t="s">
        <v>375</v>
      </c>
      <c r="D39" s="330" t="s">
        <v>124</v>
      </c>
      <c r="E39" s="331">
        <f>E36/0.5</f>
        <v>39.487500000000004</v>
      </c>
      <c r="F39" s="92"/>
      <c r="G39" s="64"/>
      <c r="H39" s="93"/>
      <c r="I39" s="74"/>
      <c r="J39" s="74"/>
      <c r="K39" s="66"/>
      <c r="L39" s="67"/>
      <c r="M39" s="64"/>
      <c r="N39" s="64"/>
      <c r="O39" s="64"/>
      <c r="P39" s="68"/>
      <c r="S39" s="94"/>
    </row>
    <row r="40" spans="1:19" s="58" customFormat="1" ht="31.35" customHeight="1" x14ac:dyDescent="0.25">
      <c r="A40" s="71">
        <v>5</v>
      </c>
      <c r="B40" s="91" t="s">
        <v>108</v>
      </c>
      <c r="C40" s="329" t="s">
        <v>376</v>
      </c>
      <c r="D40" s="330" t="s">
        <v>171</v>
      </c>
      <c r="E40" s="331">
        <f>E39*0.45</f>
        <v>17.769375000000004</v>
      </c>
      <c r="F40" s="92"/>
      <c r="G40" s="64"/>
      <c r="H40" s="93"/>
      <c r="I40" s="74"/>
      <c r="J40" s="74"/>
      <c r="K40" s="66"/>
      <c r="L40" s="67"/>
      <c r="M40" s="64"/>
      <c r="N40" s="64"/>
      <c r="O40" s="64"/>
      <c r="P40" s="68"/>
      <c r="S40" s="94"/>
    </row>
    <row r="41" spans="1:19" s="58" customFormat="1" ht="18.600000000000001" customHeight="1" x14ac:dyDescent="0.25">
      <c r="A41" s="71">
        <v>6</v>
      </c>
      <c r="B41" s="91"/>
      <c r="C41" s="341" t="s">
        <v>238</v>
      </c>
      <c r="D41" s="330" t="s">
        <v>171</v>
      </c>
      <c r="E41" s="331">
        <f>E40*1.3</f>
        <v>23.100187500000004</v>
      </c>
      <c r="F41" s="92"/>
      <c r="G41" s="64"/>
      <c r="H41" s="93"/>
      <c r="I41" s="74"/>
      <c r="J41" s="74"/>
      <c r="K41" s="66"/>
      <c r="L41" s="67"/>
      <c r="M41" s="64"/>
      <c r="N41" s="64"/>
      <c r="O41" s="64"/>
      <c r="P41" s="68"/>
      <c r="S41" s="94"/>
    </row>
    <row r="42" spans="1:19" s="58" customFormat="1" ht="25.9" customHeight="1" x14ac:dyDescent="0.25">
      <c r="A42" s="71">
        <v>7</v>
      </c>
      <c r="B42" s="148" t="s">
        <v>108</v>
      </c>
      <c r="C42" s="391" t="s">
        <v>377</v>
      </c>
      <c r="D42" s="392" t="s">
        <v>124</v>
      </c>
      <c r="E42" s="393">
        <f>3*2.75+6.75*1.5+1.7*1.8</f>
        <v>21.434999999999999</v>
      </c>
      <c r="F42" s="92"/>
      <c r="G42" s="64"/>
      <c r="H42" s="93"/>
      <c r="I42" s="64"/>
      <c r="J42" s="64"/>
      <c r="K42" s="66"/>
      <c r="L42" s="67"/>
      <c r="M42" s="64"/>
      <c r="N42" s="64"/>
      <c r="O42" s="64"/>
      <c r="P42" s="68"/>
      <c r="S42" s="94"/>
    </row>
    <row r="43" spans="1:19" s="58" customFormat="1" ht="18.600000000000001" customHeight="1" x14ac:dyDescent="0.25">
      <c r="A43" s="71">
        <v>8</v>
      </c>
      <c r="B43" s="148"/>
      <c r="C43" s="394" t="s">
        <v>378</v>
      </c>
      <c r="D43" s="392" t="s">
        <v>171</v>
      </c>
      <c r="E43" s="393">
        <f>E42*0.05*1.3</f>
        <v>1.393275</v>
      </c>
      <c r="F43" s="92"/>
      <c r="G43" s="64"/>
      <c r="H43" s="93"/>
      <c r="I43" s="64"/>
      <c r="J43" s="64"/>
      <c r="K43" s="66"/>
      <c r="L43" s="67"/>
      <c r="M43" s="64"/>
      <c r="N43" s="64"/>
      <c r="O43" s="64"/>
      <c r="P43" s="68"/>
      <c r="S43" s="94"/>
    </row>
    <row r="44" spans="1:19" s="58" customFormat="1" ht="30" customHeight="1" x14ac:dyDescent="0.25">
      <c r="A44" s="71">
        <v>9</v>
      </c>
      <c r="B44" s="148" t="s">
        <v>108</v>
      </c>
      <c r="C44" s="391" t="s">
        <v>379</v>
      </c>
      <c r="D44" s="392" t="s">
        <v>124</v>
      </c>
      <c r="E44" s="393">
        <f>2*0.95*6.75+2*2.65*2*0.9+2.4*2*0.9+2*1.5*2*0.3</f>
        <v>28.484999999999999</v>
      </c>
      <c r="F44" s="92"/>
      <c r="G44" s="64"/>
      <c r="H44" s="93"/>
      <c r="I44" s="64"/>
      <c r="J44" s="64"/>
      <c r="K44" s="66"/>
      <c r="L44" s="67"/>
      <c r="M44" s="64"/>
      <c r="N44" s="64"/>
      <c r="O44" s="64"/>
      <c r="P44" s="68"/>
      <c r="S44" s="94"/>
    </row>
    <row r="45" spans="1:19" s="58" customFormat="1" ht="30" customHeight="1" x14ac:dyDescent="0.25">
      <c r="A45" s="71">
        <v>10</v>
      </c>
      <c r="B45" s="148"/>
      <c r="C45" s="394" t="s">
        <v>380</v>
      </c>
      <c r="D45" s="392" t="s">
        <v>124</v>
      </c>
      <c r="E45" s="393">
        <f>E44</f>
        <v>28.484999999999999</v>
      </c>
      <c r="F45" s="92"/>
      <c r="G45" s="64"/>
      <c r="H45" s="93"/>
      <c r="I45" s="64"/>
      <c r="J45" s="64"/>
      <c r="K45" s="66"/>
      <c r="L45" s="67"/>
      <c r="M45" s="64"/>
      <c r="N45" s="64"/>
      <c r="O45" s="64"/>
      <c r="P45" s="68"/>
      <c r="S45" s="94"/>
    </row>
    <row r="46" spans="1:19" s="58" customFormat="1" ht="16.350000000000001" customHeight="1" x14ac:dyDescent="0.25">
      <c r="A46" s="71">
        <v>11</v>
      </c>
      <c r="B46" s="148"/>
      <c r="C46" s="394" t="s">
        <v>381</v>
      </c>
      <c r="D46" s="392" t="s">
        <v>124</v>
      </c>
      <c r="E46" s="393">
        <f>E44*0.2</f>
        <v>5.6970000000000001</v>
      </c>
      <c r="F46" s="92"/>
      <c r="G46" s="64"/>
      <c r="H46" s="93"/>
      <c r="I46" s="64"/>
      <c r="J46" s="64"/>
      <c r="K46" s="66"/>
      <c r="L46" s="67"/>
      <c r="M46" s="64"/>
      <c r="N46" s="64"/>
      <c r="O46" s="64"/>
      <c r="P46" s="68"/>
      <c r="S46" s="94"/>
    </row>
    <row r="47" spans="1:19" s="58" customFormat="1" ht="16.350000000000001" customHeight="1" x14ac:dyDescent="0.25">
      <c r="A47" s="71">
        <v>12</v>
      </c>
      <c r="B47" s="148"/>
      <c r="C47" s="394" t="s">
        <v>382</v>
      </c>
      <c r="D47" s="392" t="s">
        <v>171</v>
      </c>
      <c r="E47" s="393">
        <f>ROUND(E44*0.015,2)</f>
        <v>0.43</v>
      </c>
      <c r="F47" s="92"/>
      <c r="G47" s="64"/>
      <c r="H47" s="93"/>
      <c r="I47" s="64"/>
      <c r="J47" s="64"/>
      <c r="K47" s="66"/>
      <c r="L47" s="67"/>
      <c r="M47" s="64"/>
      <c r="N47" s="64"/>
      <c r="O47" s="64"/>
      <c r="P47" s="68"/>
      <c r="S47" s="94"/>
    </row>
    <row r="48" spans="1:19" s="58" customFormat="1" ht="16.350000000000001" customHeight="1" x14ac:dyDescent="0.25">
      <c r="A48" s="71">
        <v>13</v>
      </c>
      <c r="B48" s="148"/>
      <c r="C48" s="394" t="s">
        <v>383</v>
      </c>
      <c r="D48" s="392" t="s">
        <v>177</v>
      </c>
      <c r="E48" s="393">
        <f>E44*0.18</f>
        <v>5.1273</v>
      </c>
      <c r="F48" s="92"/>
      <c r="G48" s="64"/>
      <c r="H48" s="93"/>
      <c r="I48" s="64"/>
      <c r="J48" s="64"/>
      <c r="K48" s="66"/>
      <c r="L48" s="67"/>
      <c r="M48" s="64"/>
      <c r="N48" s="64"/>
      <c r="O48" s="64"/>
      <c r="P48" s="68"/>
      <c r="S48" s="94"/>
    </row>
    <row r="49" spans="1:19" s="58" customFormat="1" ht="16.350000000000001" customHeight="1" x14ac:dyDescent="0.25">
      <c r="A49" s="71">
        <v>14</v>
      </c>
      <c r="B49" s="148"/>
      <c r="C49" s="394" t="s">
        <v>384</v>
      </c>
      <c r="D49" s="392" t="s">
        <v>114</v>
      </c>
      <c r="E49" s="393">
        <f>ROUND(E46*40,0)</f>
        <v>228</v>
      </c>
      <c r="F49" s="92"/>
      <c r="G49" s="64"/>
      <c r="H49" s="93"/>
      <c r="I49" s="64"/>
      <c r="J49" s="64"/>
      <c r="K49" s="66"/>
      <c r="L49" s="67"/>
      <c r="M49" s="64"/>
      <c r="N49" s="64"/>
      <c r="O49" s="64"/>
      <c r="P49" s="68"/>
      <c r="S49" s="94"/>
    </row>
    <row r="50" spans="1:19" s="58" customFormat="1" ht="16.350000000000001" customHeight="1" x14ac:dyDescent="0.25">
      <c r="A50" s="71">
        <v>15</v>
      </c>
      <c r="B50" s="148" t="s">
        <v>108</v>
      </c>
      <c r="C50" s="391" t="s">
        <v>385</v>
      </c>
      <c r="D50" s="392" t="s">
        <v>386</v>
      </c>
      <c r="E50" s="395">
        <f>E55*0.06</f>
        <v>0.29663999999999996</v>
      </c>
      <c r="F50" s="92"/>
      <c r="G50" s="64"/>
      <c r="H50" s="93"/>
      <c r="I50" s="64"/>
      <c r="J50" s="64"/>
      <c r="K50" s="66"/>
      <c r="L50" s="67"/>
      <c r="M50" s="64"/>
      <c r="N50" s="64"/>
      <c r="O50" s="64"/>
      <c r="P50" s="68"/>
      <c r="S50" s="94"/>
    </row>
    <row r="51" spans="1:19" s="58" customFormat="1" ht="16.350000000000001" customHeight="1" x14ac:dyDescent="0.25">
      <c r="A51" s="71">
        <v>16</v>
      </c>
      <c r="B51" s="148"/>
      <c r="C51" s="394" t="s">
        <v>387</v>
      </c>
      <c r="D51" s="392" t="s">
        <v>114</v>
      </c>
      <c r="E51" s="393">
        <f>ROUND(E44*4,0)</f>
        <v>114</v>
      </c>
      <c r="F51" s="92"/>
      <c r="G51" s="64"/>
      <c r="H51" s="93"/>
      <c r="I51" s="64"/>
      <c r="J51" s="64"/>
      <c r="K51" s="66"/>
      <c r="L51" s="67"/>
      <c r="M51" s="64"/>
      <c r="N51" s="64"/>
      <c r="O51" s="64"/>
      <c r="P51" s="68"/>
      <c r="S51" s="94"/>
    </row>
    <row r="52" spans="1:19" s="58" customFormat="1" ht="16.350000000000001" customHeight="1" x14ac:dyDescent="0.25">
      <c r="A52" s="71">
        <v>17</v>
      </c>
      <c r="B52" s="148"/>
      <c r="C52" s="394" t="s">
        <v>388</v>
      </c>
      <c r="D52" s="392" t="s">
        <v>114</v>
      </c>
      <c r="E52" s="393">
        <f>ROUND(E41*3,0)</f>
        <v>69</v>
      </c>
      <c r="F52" s="92"/>
      <c r="G52" s="64"/>
      <c r="H52" s="93"/>
      <c r="I52" s="64"/>
      <c r="J52" s="64"/>
      <c r="K52" s="66"/>
      <c r="L52" s="67"/>
      <c r="M52" s="64"/>
      <c r="N52" s="64"/>
      <c r="O52" s="64"/>
      <c r="P52" s="68"/>
      <c r="S52" s="94"/>
    </row>
    <row r="53" spans="1:19" s="58" customFormat="1" ht="16.350000000000001" customHeight="1" x14ac:dyDescent="0.25">
      <c r="A53" s="71">
        <v>18</v>
      </c>
      <c r="B53" s="148"/>
      <c r="C53" s="394" t="s">
        <v>389</v>
      </c>
      <c r="D53" s="392" t="s">
        <v>386</v>
      </c>
      <c r="E53" s="393">
        <f>E50*1.18</f>
        <v>0.35003519999999994</v>
      </c>
      <c r="F53" s="92"/>
      <c r="G53" s="64"/>
      <c r="H53" s="93"/>
      <c r="I53" s="64"/>
      <c r="J53" s="64"/>
      <c r="K53" s="66"/>
      <c r="L53" s="67"/>
      <c r="M53" s="64"/>
      <c r="N53" s="64"/>
      <c r="O53" s="64"/>
      <c r="P53" s="68"/>
      <c r="S53" s="94"/>
    </row>
    <row r="54" spans="1:19" s="58" customFormat="1" ht="16.350000000000001" customHeight="1" x14ac:dyDescent="0.25">
      <c r="A54" s="71">
        <v>19</v>
      </c>
      <c r="B54" s="148"/>
      <c r="C54" s="394" t="s">
        <v>390</v>
      </c>
      <c r="D54" s="392" t="s">
        <v>112</v>
      </c>
      <c r="E54" s="393">
        <v>1</v>
      </c>
      <c r="F54" s="92"/>
      <c r="G54" s="64"/>
      <c r="H54" s="93"/>
      <c r="I54" s="64"/>
      <c r="J54" s="64"/>
      <c r="K54" s="66"/>
      <c r="L54" s="67"/>
      <c r="M54" s="64"/>
      <c r="N54" s="64"/>
      <c r="O54" s="64"/>
      <c r="P54" s="68"/>
      <c r="S54" s="94"/>
    </row>
    <row r="55" spans="1:19" s="58" customFormat="1" ht="29.85" customHeight="1" x14ac:dyDescent="0.25">
      <c r="A55" s="71">
        <v>20</v>
      </c>
      <c r="B55" s="148" t="s">
        <v>108</v>
      </c>
      <c r="C55" s="391" t="s">
        <v>391</v>
      </c>
      <c r="D55" s="392" t="s">
        <v>171</v>
      </c>
      <c r="E55" s="393">
        <f>2*2.65*0.9*0.3+2.4*0.9*0.3+6.75*0.75*0.3+3*0.6*0.3+(2.65*2.7+5.6*1.2+1.5*1.5)*0.05</f>
        <v>4.944</v>
      </c>
      <c r="F55" s="92"/>
      <c r="G55" s="64"/>
      <c r="H55" s="93"/>
      <c r="I55" s="64"/>
      <c r="J55" s="64"/>
      <c r="K55" s="66"/>
      <c r="L55" s="67"/>
      <c r="M55" s="64"/>
      <c r="N55" s="64"/>
      <c r="O55" s="64"/>
      <c r="P55" s="68"/>
      <c r="S55" s="94"/>
    </row>
    <row r="56" spans="1:19" s="58" customFormat="1" ht="18.600000000000001" customHeight="1" x14ac:dyDescent="0.25">
      <c r="A56" s="71">
        <v>21</v>
      </c>
      <c r="B56" s="148"/>
      <c r="C56" s="394" t="s">
        <v>392</v>
      </c>
      <c r="D56" s="392" t="s">
        <v>171</v>
      </c>
      <c r="E56" s="393">
        <f>E55*1.06</f>
        <v>5.24064</v>
      </c>
      <c r="F56" s="92"/>
      <c r="G56" s="64"/>
      <c r="H56" s="93"/>
      <c r="I56" s="64"/>
      <c r="J56" s="64"/>
      <c r="K56" s="66"/>
      <c r="L56" s="67"/>
      <c r="M56" s="64"/>
      <c r="N56" s="64"/>
      <c r="O56" s="64"/>
      <c r="P56" s="68"/>
      <c r="S56" s="94"/>
    </row>
    <row r="57" spans="1:19" s="58" customFormat="1" ht="18.600000000000001" customHeight="1" x14ac:dyDescent="0.25">
      <c r="A57" s="71">
        <v>22</v>
      </c>
      <c r="B57" s="148"/>
      <c r="C57" s="394" t="s">
        <v>242</v>
      </c>
      <c r="D57" s="392" t="s">
        <v>243</v>
      </c>
      <c r="E57" s="393">
        <f>ROUND(E56/7.7,0)</f>
        <v>1</v>
      </c>
      <c r="F57" s="92"/>
      <c r="G57" s="64"/>
      <c r="H57" s="93"/>
      <c r="I57" s="64"/>
      <c r="J57" s="64"/>
      <c r="K57" s="66"/>
      <c r="L57" s="67"/>
      <c r="M57" s="64"/>
      <c r="N57" s="64"/>
      <c r="O57" s="64"/>
      <c r="P57" s="68"/>
      <c r="S57" s="94"/>
    </row>
    <row r="58" spans="1:19" s="58" customFormat="1" ht="18.600000000000001" customHeight="1" x14ac:dyDescent="0.25">
      <c r="A58" s="71">
        <v>23</v>
      </c>
      <c r="B58" s="148"/>
      <c r="C58" s="394" t="s">
        <v>244</v>
      </c>
      <c r="D58" s="392" t="s">
        <v>245</v>
      </c>
      <c r="E58" s="393">
        <f>ROUND(E56/7,0)</f>
        <v>1</v>
      </c>
      <c r="F58" s="92"/>
      <c r="G58" s="64"/>
      <c r="H58" s="93"/>
      <c r="I58" s="64"/>
      <c r="J58" s="64"/>
      <c r="K58" s="66"/>
      <c r="L58" s="67"/>
      <c r="M58" s="64"/>
      <c r="N58" s="64"/>
      <c r="O58" s="64"/>
      <c r="P58" s="68"/>
      <c r="S58" s="94"/>
    </row>
    <row r="59" spans="1:19" s="58" customFormat="1" ht="32.1" customHeight="1" x14ac:dyDescent="0.25">
      <c r="A59" s="71">
        <v>24</v>
      </c>
      <c r="B59" s="148" t="s">
        <v>108</v>
      </c>
      <c r="C59" s="391" t="s">
        <v>393</v>
      </c>
      <c r="D59" s="392" t="s">
        <v>124</v>
      </c>
      <c r="E59" s="393">
        <f>2.65*2.4+6.75*1.2+1.5*1.5</f>
        <v>16.71</v>
      </c>
      <c r="F59" s="92"/>
      <c r="G59" s="64"/>
      <c r="H59" s="93"/>
      <c r="I59" s="64"/>
      <c r="J59" s="64"/>
      <c r="K59" s="66"/>
      <c r="L59" s="67"/>
      <c r="M59" s="64"/>
      <c r="N59" s="64"/>
      <c r="O59" s="64"/>
      <c r="P59" s="68"/>
      <c r="S59" s="94"/>
    </row>
    <row r="60" spans="1:19" s="58" customFormat="1" ht="18.600000000000001" customHeight="1" x14ac:dyDescent="0.25">
      <c r="A60" s="71">
        <v>25</v>
      </c>
      <c r="B60" s="148"/>
      <c r="C60" s="394" t="s">
        <v>394</v>
      </c>
      <c r="D60" s="392" t="s">
        <v>124</v>
      </c>
      <c r="E60" s="393">
        <f>E59*1.15</f>
        <v>19.2165</v>
      </c>
      <c r="F60" s="92"/>
      <c r="G60" s="64"/>
      <c r="H60" s="93"/>
      <c r="I60" s="64"/>
      <c r="J60" s="64"/>
      <c r="K60" s="66"/>
      <c r="L60" s="67"/>
      <c r="M60" s="64"/>
      <c r="N60" s="64"/>
      <c r="O60" s="64"/>
      <c r="P60" s="68"/>
      <c r="S60" s="94"/>
    </row>
    <row r="61" spans="1:19" s="58" customFormat="1" ht="24" customHeight="1" x14ac:dyDescent="0.25">
      <c r="A61" s="71">
        <v>26</v>
      </c>
      <c r="B61" s="60" t="s">
        <v>108</v>
      </c>
      <c r="C61" s="358" t="s">
        <v>395</v>
      </c>
      <c r="D61" s="333" t="s">
        <v>110</v>
      </c>
      <c r="E61" s="334">
        <f>13+1.15</f>
        <v>14.15</v>
      </c>
      <c r="F61" s="92"/>
      <c r="G61" s="64"/>
      <c r="H61" s="93"/>
      <c r="I61" s="64"/>
      <c r="J61" s="64"/>
      <c r="K61" s="66"/>
      <c r="L61" s="67"/>
      <c r="M61" s="64"/>
      <c r="N61" s="64"/>
      <c r="O61" s="64"/>
      <c r="P61" s="68"/>
      <c r="S61" s="94"/>
    </row>
    <row r="62" spans="1:19" s="58" customFormat="1" ht="18.600000000000001" customHeight="1" x14ac:dyDescent="0.25">
      <c r="A62" s="71">
        <v>27</v>
      </c>
      <c r="B62" s="60"/>
      <c r="C62" s="348" t="s">
        <v>396</v>
      </c>
      <c r="D62" s="333" t="s">
        <v>114</v>
      </c>
      <c r="E62" s="334">
        <v>14</v>
      </c>
      <c r="F62" s="92"/>
      <c r="G62" s="64"/>
      <c r="H62" s="93"/>
      <c r="I62" s="64"/>
      <c r="J62" s="64"/>
      <c r="K62" s="66"/>
      <c r="L62" s="67"/>
      <c r="M62" s="64"/>
      <c r="N62" s="64"/>
      <c r="O62" s="64"/>
      <c r="P62" s="68"/>
      <c r="S62" s="94"/>
    </row>
    <row r="63" spans="1:19" s="58" customFormat="1" ht="18.600000000000001" customHeight="1" x14ac:dyDescent="0.25">
      <c r="A63" s="71">
        <v>28</v>
      </c>
      <c r="B63" s="60"/>
      <c r="C63" s="348" t="s">
        <v>397</v>
      </c>
      <c r="D63" s="333" t="s">
        <v>114</v>
      </c>
      <c r="E63" s="334">
        <f>E61</f>
        <v>14.15</v>
      </c>
      <c r="F63" s="92"/>
      <c r="G63" s="64"/>
      <c r="H63" s="93"/>
      <c r="I63" s="64"/>
      <c r="J63" s="64"/>
      <c r="K63" s="66"/>
      <c r="L63" s="67"/>
      <c r="M63" s="64"/>
      <c r="N63" s="64"/>
      <c r="O63" s="64"/>
      <c r="P63" s="68"/>
      <c r="S63" s="94"/>
    </row>
    <row r="64" spans="1:19" s="58" customFormat="1" ht="18.600000000000001" customHeight="1" x14ac:dyDescent="0.25">
      <c r="A64" s="71">
        <v>29</v>
      </c>
      <c r="B64" s="60"/>
      <c r="C64" s="348" t="s">
        <v>398</v>
      </c>
      <c r="D64" s="333" t="s">
        <v>110</v>
      </c>
      <c r="E64" s="334">
        <f>E61</f>
        <v>14.15</v>
      </c>
      <c r="F64" s="92"/>
      <c r="G64" s="64"/>
      <c r="H64" s="93"/>
      <c r="I64" s="64"/>
      <c r="J64" s="64"/>
      <c r="K64" s="66"/>
      <c r="L64" s="67"/>
      <c r="M64" s="64"/>
      <c r="N64" s="64"/>
      <c r="O64" s="64"/>
      <c r="P64" s="68"/>
      <c r="S64" s="94"/>
    </row>
    <row r="65" spans="1:19" s="58" customFormat="1" ht="18.600000000000001" customHeight="1" x14ac:dyDescent="0.25">
      <c r="A65" s="71">
        <v>30</v>
      </c>
      <c r="B65" s="60"/>
      <c r="C65" s="348" t="s">
        <v>399</v>
      </c>
      <c r="D65" s="333" t="s">
        <v>110</v>
      </c>
      <c r="E65" s="334">
        <f>E61</f>
        <v>14.15</v>
      </c>
      <c r="F65" s="92"/>
      <c r="G65" s="64"/>
      <c r="H65" s="93"/>
      <c r="I65" s="64"/>
      <c r="J65" s="64"/>
      <c r="K65" s="66"/>
      <c r="L65" s="67"/>
      <c r="M65" s="64"/>
      <c r="N65" s="64"/>
      <c r="O65" s="64"/>
      <c r="P65" s="68"/>
      <c r="S65" s="94"/>
    </row>
    <row r="66" spans="1:19" s="58" customFormat="1" ht="18.600000000000001" customHeight="1" x14ac:dyDescent="0.25">
      <c r="A66" s="71">
        <v>31</v>
      </c>
      <c r="B66" s="60"/>
      <c r="C66" s="348" t="s">
        <v>194</v>
      </c>
      <c r="D66" s="333" t="s">
        <v>112</v>
      </c>
      <c r="E66" s="334">
        <v>1</v>
      </c>
      <c r="F66" s="92"/>
      <c r="G66" s="64"/>
      <c r="H66" s="93"/>
      <c r="I66" s="64"/>
      <c r="J66" s="64"/>
      <c r="K66" s="66"/>
      <c r="L66" s="67"/>
      <c r="M66" s="64"/>
      <c r="N66" s="64"/>
      <c r="O66" s="64"/>
      <c r="P66" s="68"/>
      <c r="S66" s="94"/>
    </row>
    <row r="67" spans="1:19" s="58" customFormat="1" ht="25.9" customHeight="1" x14ac:dyDescent="0.25">
      <c r="A67" s="71">
        <v>32</v>
      </c>
      <c r="B67" s="60" t="s">
        <v>108</v>
      </c>
      <c r="C67" s="358" t="s">
        <v>400</v>
      </c>
      <c r="D67" s="333" t="s">
        <v>110</v>
      </c>
      <c r="E67" s="334">
        <v>4.5999999999999996</v>
      </c>
      <c r="F67" s="92"/>
      <c r="G67" s="64"/>
      <c r="H67" s="93"/>
      <c r="I67" s="64"/>
      <c r="J67" s="64"/>
      <c r="K67" s="66"/>
      <c r="L67" s="67"/>
      <c r="M67" s="64"/>
      <c r="N67" s="64"/>
      <c r="O67" s="64"/>
      <c r="P67" s="68"/>
      <c r="S67" s="94"/>
    </row>
    <row r="68" spans="1:19" s="58" customFormat="1" ht="18.600000000000001" customHeight="1" x14ac:dyDescent="0.25">
      <c r="A68" s="71">
        <v>33</v>
      </c>
      <c r="B68" s="60"/>
      <c r="C68" s="348" t="s">
        <v>396</v>
      </c>
      <c r="D68" s="333" t="s">
        <v>114</v>
      </c>
      <c r="E68" s="334">
        <v>7</v>
      </c>
      <c r="F68" s="92"/>
      <c r="G68" s="64"/>
      <c r="H68" s="93"/>
      <c r="I68" s="64"/>
      <c r="J68" s="64"/>
      <c r="K68" s="66"/>
      <c r="L68" s="67"/>
      <c r="M68" s="64"/>
      <c r="N68" s="64"/>
      <c r="O68" s="64"/>
      <c r="P68" s="68"/>
      <c r="S68" s="94"/>
    </row>
    <row r="69" spans="1:19" s="58" customFormat="1" ht="18.600000000000001" customHeight="1" x14ac:dyDescent="0.25">
      <c r="A69" s="71">
        <v>34</v>
      </c>
      <c r="B69" s="60"/>
      <c r="C69" s="348" t="s">
        <v>397</v>
      </c>
      <c r="D69" s="333" t="s">
        <v>114</v>
      </c>
      <c r="E69" s="334">
        <v>7</v>
      </c>
      <c r="F69" s="92"/>
      <c r="G69" s="64"/>
      <c r="H69" s="93"/>
      <c r="I69" s="64"/>
      <c r="J69" s="64"/>
      <c r="K69" s="66"/>
      <c r="L69" s="67"/>
      <c r="M69" s="64"/>
      <c r="N69" s="64"/>
      <c r="O69" s="64"/>
      <c r="P69" s="68"/>
      <c r="S69" s="94"/>
    </row>
    <row r="70" spans="1:19" s="58" customFormat="1" ht="18.600000000000001" customHeight="1" x14ac:dyDescent="0.25">
      <c r="A70" s="71">
        <v>35</v>
      </c>
      <c r="B70" s="60"/>
      <c r="C70" s="348" t="s">
        <v>398</v>
      </c>
      <c r="D70" s="333" t="s">
        <v>110</v>
      </c>
      <c r="E70" s="334">
        <f>3+1.6</f>
        <v>4.5999999999999996</v>
      </c>
      <c r="F70" s="92"/>
      <c r="G70" s="64"/>
      <c r="H70" s="93"/>
      <c r="I70" s="64"/>
      <c r="J70" s="64"/>
      <c r="K70" s="66"/>
      <c r="L70" s="67"/>
      <c r="M70" s="64"/>
      <c r="N70" s="64"/>
      <c r="O70" s="64"/>
      <c r="P70" s="68"/>
      <c r="S70" s="94"/>
    </row>
    <row r="71" spans="1:19" s="58" customFormat="1" ht="18.600000000000001" customHeight="1" x14ac:dyDescent="0.25">
      <c r="A71" s="71">
        <v>36</v>
      </c>
      <c r="B71" s="60"/>
      <c r="C71" s="348" t="s">
        <v>401</v>
      </c>
      <c r="D71" s="333" t="s">
        <v>110</v>
      </c>
      <c r="E71" s="334">
        <f>4.6*3</f>
        <v>13.799999999999999</v>
      </c>
      <c r="F71" s="92"/>
      <c r="G71" s="64"/>
      <c r="H71" s="93"/>
      <c r="I71" s="64"/>
      <c r="J71" s="64"/>
      <c r="K71" s="66"/>
      <c r="L71" s="67"/>
      <c r="M71" s="64"/>
      <c r="N71" s="64"/>
      <c r="O71" s="64"/>
      <c r="P71" s="68"/>
      <c r="S71" s="94"/>
    </row>
    <row r="72" spans="1:19" s="58" customFormat="1" ht="18.600000000000001" customHeight="1" x14ac:dyDescent="0.25">
      <c r="A72" s="71">
        <v>37</v>
      </c>
      <c r="B72" s="60"/>
      <c r="C72" s="348" t="s">
        <v>194</v>
      </c>
      <c r="D72" s="333" t="s">
        <v>112</v>
      </c>
      <c r="E72" s="334">
        <v>1</v>
      </c>
      <c r="F72" s="92"/>
      <c r="G72" s="64"/>
      <c r="H72" s="93"/>
      <c r="I72" s="64"/>
      <c r="J72" s="64"/>
      <c r="K72" s="66"/>
      <c r="L72" s="67"/>
      <c r="M72" s="64"/>
      <c r="N72" s="64"/>
      <c r="O72" s="64"/>
      <c r="P72" s="68"/>
      <c r="S72" s="94"/>
    </row>
    <row r="73" spans="1:19" x14ac:dyDescent="0.25">
      <c r="A73" s="82"/>
      <c r="B73" s="83"/>
      <c r="C73" s="83"/>
      <c r="D73" s="83"/>
      <c r="E73" s="84"/>
      <c r="F73" s="82"/>
      <c r="G73" s="83"/>
      <c r="H73" s="83"/>
      <c r="I73" s="83"/>
      <c r="J73" s="83"/>
      <c r="K73" s="85"/>
      <c r="L73" s="86"/>
      <c r="M73" s="83"/>
      <c r="N73" s="83"/>
      <c r="O73" s="83"/>
      <c r="P73" s="85"/>
    </row>
    <row r="74" spans="1:19" ht="15.75" customHeight="1" x14ac:dyDescent="0.25">
      <c r="A74" s="87"/>
      <c r="B74" s="88"/>
      <c r="C74" s="419" t="s">
        <v>136</v>
      </c>
      <c r="D74" s="419"/>
      <c r="E74" s="419"/>
      <c r="F74" s="419"/>
      <c r="G74" s="419"/>
      <c r="H74" s="419"/>
      <c r="I74" s="419"/>
      <c r="J74" s="419"/>
      <c r="K74" s="419"/>
      <c r="L74" s="89">
        <f>SUM(L21:L73)</f>
        <v>0</v>
      </c>
      <c r="M74" s="90">
        <f>SUM(M21:M73)</f>
        <v>0</v>
      </c>
      <c r="N74" s="90">
        <f>SUM(N21:N73)</f>
        <v>0</v>
      </c>
      <c r="O74" s="90">
        <f>SUM(O21:O73)</f>
        <v>0</v>
      </c>
      <c r="P74" s="21">
        <f>SUM(P21:P73)</f>
        <v>0</v>
      </c>
    </row>
    <row r="76" spans="1:19" x14ac:dyDescent="0.25">
      <c r="B76" s="1" t="s">
        <v>26</v>
      </c>
      <c r="C76" s="6">
        <f>KOPTAME!C58</f>
        <v>0</v>
      </c>
      <c r="E76" s="34">
        <f>'KOPS 1'!F42</f>
        <v>0</v>
      </c>
    </row>
    <row r="77" spans="1:19" x14ac:dyDescent="0.25">
      <c r="C77" s="32" t="s">
        <v>86</v>
      </c>
      <c r="E77" s="2"/>
    </row>
    <row r="78" spans="1:19" ht="8.25" customHeight="1" x14ac:dyDescent="0.25">
      <c r="E78" s="2"/>
    </row>
    <row r="79" spans="1:19" x14ac:dyDescent="0.25">
      <c r="B79" s="5"/>
      <c r="C79" s="33"/>
      <c r="D79" s="2"/>
      <c r="E79" s="2"/>
      <c r="F79" s="42"/>
    </row>
    <row r="80" spans="1:19" x14ac:dyDescent="0.25">
      <c r="E80" s="2"/>
    </row>
    <row r="81" spans="2:5" x14ac:dyDescent="0.25">
      <c r="B81" s="1" t="s">
        <v>28</v>
      </c>
      <c r="C81" s="6">
        <f>KOPTAME!C63</f>
        <v>0</v>
      </c>
      <c r="E81" s="34">
        <f>E76</f>
        <v>0</v>
      </c>
    </row>
    <row r="82" spans="2:5" x14ac:dyDescent="0.25">
      <c r="C82" s="32" t="s">
        <v>86</v>
      </c>
    </row>
    <row r="83" spans="2:5" ht="7.5" customHeight="1" x14ac:dyDescent="0.25"/>
    <row r="84" spans="2:5" x14ac:dyDescent="0.25">
      <c r="C84" s="1">
        <f>KOPTAME!C68</f>
        <v>0</v>
      </c>
    </row>
    <row r="85" spans="2:5" ht="9" customHeight="1" x14ac:dyDescent="0.25"/>
    <row r="86" spans="2:5" x14ac:dyDescent="0.25">
      <c r="C86" s="1">
        <f>KOPTAME!C70</f>
        <v>0</v>
      </c>
    </row>
  </sheetData>
  <mergeCells count="26">
    <mergeCell ref="M1:P1"/>
    <mergeCell ref="E3:H3"/>
    <mergeCell ref="D4:M4"/>
    <mergeCell ref="D5:M5"/>
    <mergeCell ref="A7:B7"/>
    <mergeCell ref="C7:P7"/>
    <mergeCell ref="A8:B8"/>
    <mergeCell ref="C8:P8"/>
    <mergeCell ref="A9:B9"/>
    <mergeCell ref="C9:P9"/>
    <mergeCell ref="A10:B10"/>
    <mergeCell ref="C10:P10"/>
    <mergeCell ref="A11:B11"/>
    <mergeCell ref="C11:P11"/>
    <mergeCell ref="A12:B12"/>
    <mergeCell ref="C12:P12"/>
    <mergeCell ref="A14:K15"/>
    <mergeCell ref="M14:N14"/>
    <mergeCell ref="F18:K18"/>
    <mergeCell ref="L18:P18"/>
    <mergeCell ref="C74:K74"/>
    <mergeCell ref="A18:A19"/>
    <mergeCell ref="B18:B19"/>
    <mergeCell ref="C18:C19"/>
    <mergeCell ref="D18:D19"/>
    <mergeCell ref="E18:E19"/>
  </mergeCells>
  <pageMargins left="0.25" right="0.25" top="0.75" bottom="0.75" header="0.51180555555555496" footer="0.51180555555555496"/>
  <pageSetup paperSize="9" scale="58" firstPageNumber="0" orientation="landscape" horizontalDpi="300" verticalDpi="300" r:id="rId1"/>
  <rowBreaks count="1" manualBreakCount="1"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36484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28</vt:i4>
      </vt:variant>
    </vt:vector>
  </HeadingPairs>
  <TitlesOfParts>
    <vt:vector size="55" baseType="lpstr">
      <vt:lpstr>KOPTAME</vt:lpstr>
      <vt:lpstr>KOPS 1</vt:lpstr>
      <vt:lpstr>BS 1</vt:lpstr>
      <vt:lpstr>DEM 1</vt:lpstr>
      <vt:lpstr>COK 1</vt:lpstr>
      <vt:lpstr>FAS 1</vt:lpstr>
      <vt:lpstr>GRI 1</vt:lpstr>
      <vt:lpstr>JUM 1</vt:lpstr>
      <vt:lpstr>L D V 1</vt:lpstr>
      <vt:lpstr>APD 1</vt:lpstr>
      <vt:lpstr>APK 1</vt:lpstr>
      <vt:lpstr>SM 1</vt:lpstr>
      <vt:lpstr>VENT 1</vt:lpstr>
      <vt:lpstr>EL 1</vt:lpstr>
      <vt:lpstr>KOPS 2</vt:lpstr>
      <vt:lpstr>SIE 2</vt:lpstr>
      <vt:lpstr>KAPN 2</vt:lpstr>
      <vt:lpstr>UK 2</vt:lpstr>
      <vt:lpstr>UATS 2</vt:lpstr>
      <vt:lpstr>VNS 2</vt:lpstr>
      <vt:lpstr>ASS 2</vt:lpstr>
      <vt:lpstr>ITTIS 2</vt:lpstr>
      <vt:lpstr>PKS 2</vt:lpstr>
      <vt:lpstr>LVRTC 2</vt:lpstr>
      <vt:lpstr>UKT 2</vt:lpstr>
      <vt:lpstr>KOPS 3</vt:lpstr>
      <vt:lpstr>LAB 3</vt:lpstr>
      <vt:lpstr>'APD 1'!Print_Area</vt:lpstr>
      <vt:lpstr>'APK 1'!Print_Area</vt:lpstr>
      <vt:lpstr>'ASS 2'!Print_Area</vt:lpstr>
      <vt:lpstr>'BS 1'!Print_Area</vt:lpstr>
      <vt:lpstr>'COK 1'!Print_Area</vt:lpstr>
      <vt:lpstr>'DEM 1'!Print_Area</vt:lpstr>
      <vt:lpstr>'EL 1'!Print_Area</vt:lpstr>
      <vt:lpstr>'FAS 1'!Print_Area</vt:lpstr>
      <vt:lpstr>'GRI 1'!Print_Area</vt:lpstr>
      <vt:lpstr>'ITTIS 2'!Print_Area</vt:lpstr>
      <vt:lpstr>'JUM 1'!Print_Area</vt:lpstr>
      <vt:lpstr>'KAPN 2'!Print_Area</vt:lpstr>
      <vt:lpstr>'KOPS 1'!Print_Area</vt:lpstr>
      <vt:lpstr>'KOPS 2'!Print_Area</vt:lpstr>
      <vt:lpstr>'KOPS 3'!Print_Area</vt:lpstr>
      <vt:lpstr>KOPTAME!Print_Area</vt:lpstr>
      <vt:lpstr>'L D V 1'!Print_Area</vt:lpstr>
      <vt:lpstr>'LAB 3'!Print_Area</vt:lpstr>
      <vt:lpstr>'LVRTC 2'!Print_Area</vt:lpstr>
      <vt:lpstr>'PKS 2'!Print_Area</vt:lpstr>
      <vt:lpstr>'SIE 2'!Print_Area</vt:lpstr>
      <vt:lpstr>'SM 1'!Print_Area</vt:lpstr>
      <vt:lpstr>'UATS 2'!Print_Area</vt:lpstr>
      <vt:lpstr>'UK 2'!Print_Area</vt:lpstr>
      <vt:lpstr>'UKT 2'!Print_Area</vt:lpstr>
      <vt:lpstr>'VENT 1'!Print_Area</vt:lpstr>
      <vt:lpstr>'VNS 2'!Print_Area</vt:lpstr>
      <vt:lpstr>'KAPN 2'!Print_Area_0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Martins Murans</dc:creator>
  <dc:description/>
  <cp:lastModifiedBy>Anzelika Kanberga</cp:lastModifiedBy>
  <cp:revision>271</cp:revision>
  <cp:lastPrinted>2023-04-09T17:45:03Z</cp:lastPrinted>
  <dcterms:created xsi:type="dcterms:W3CDTF">2020-06-13T12:23:12Z</dcterms:created>
  <dcterms:modified xsi:type="dcterms:W3CDTF">2024-05-20T07:31:21Z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